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Распределение" sheetId="1" r:id="rId1"/>
  </sheets>
  <calcPr calcId="162913" fullPrecision="0"/>
</workbook>
</file>

<file path=xl/calcChain.xml><?xml version="1.0" encoding="utf-8"?>
<calcChain xmlns="http://schemas.openxmlformats.org/spreadsheetml/2006/main">
  <c r="J35" i="1" l="1"/>
  <c r="J36" i="1" s="1"/>
  <c r="J37" i="1" s="1"/>
  <c r="M35" i="1"/>
  <c r="M36" i="1" s="1"/>
  <c r="N35" i="1"/>
  <c r="N36" i="1" s="1"/>
  <c r="N37" i="1" s="1"/>
  <c r="O35" i="1"/>
  <c r="O36" i="1" s="1"/>
  <c r="O37" i="1" s="1"/>
  <c r="P35" i="1"/>
  <c r="P36" i="1" s="1"/>
  <c r="P37" i="1" s="1"/>
  <c r="Q35" i="1"/>
  <c r="Q36" i="1" s="1"/>
  <c r="R35" i="1"/>
  <c r="R36" i="1" s="1"/>
  <c r="R37" i="1" s="1"/>
  <c r="S35" i="1"/>
  <c r="S36" i="1" s="1"/>
  <c r="S37" i="1" s="1"/>
  <c r="T35" i="1"/>
  <c r="V35" i="1"/>
  <c r="V36" i="1" s="1"/>
  <c r="V37" i="1" s="1"/>
  <c r="X35" i="1"/>
  <c r="X36" i="1" s="1"/>
  <c r="X37" i="1" s="1"/>
  <c r="Y35" i="1"/>
  <c r="Y36" i="1" s="1"/>
  <c r="AF35" i="1"/>
  <c r="AF36" i="1" s="1"/>
  <c r="AF37" i="1" s="1"/>
  <c r="T36" i="1" l="1"/>
  <c r="T37" i="1" s="1"/>
  <c r="Y37" i="1"/>
  <c r="Q37" i="1"/>
  <c r="M37" i="1"/>
  <c r="K31" i="1" l="1"/>
  <c r="AC31" i="1" s="1"/>
  <c r="AD31" i="1" s="1"/>
  <c r="K34" i="1" l="1"/>
  <c r="U34" i="1"/>
  <c r="W34" i="1" s="1"/>
  <c r="Z34" i="1" s="1"/>
  <c r="L31" i="1"/>
  <c r="AA31" i="1" s="1"/>
  <c r="AB31" i="1" s="1"/>
  <c r="AE31" i="1" s="1"/>
  <c r="U31" i="1"/>
  <c r="W31" i="1" s="1"/>
  <c r="Z31" i="1" s="1"/>
  <c r="AC34" i="1" l="1"/>
  <c r="AD34" i="1" s="1"/>
  <c r="L34" i="1"/>
  <c r="AA34" i="1" s="1"/>
  <c r="AB34" i="1" s="1"/>
  <c r="G35" i="1"/>
  <c r="G36" i="1" s="1"/>
  <c r="H35" i="1"/>
  <c r="H36" i="1" s="1"/>
  <c r="K28" i="1"/>
  <c r="U28" i="1"/>
  <c r="H88" i="1"/>
  <c r="G88" i="1"/>
  <c r="I87" i="1"/>
  <c r="J87" i="1" s="1"/>
  <c r="I86" i="1"/>
  <c r="J86" i="1" s="1"/>
  <c r="I85" i="1"/>
  <c r="J85" i="1" s="1"/>
  <c r="I84" i="1"/>
  <c r="J84" i="1" s="1"/>
  <c r="F83" i="1"/>
  <c r="I83" i="1" s="1"/>
  <c r="I82" i="1"/>
  <c r="J82" i="1" s="1"/>
  <c r="AE39" i="1"/>
  <c r="AE40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F41" i="1"/>
  <c r="G41" i="1" s="1"/>
  <c r="J41" i="1"/>
  <c r="AE41" i="1" s="1"/>
  <c r="L41" i="1"/>
  <c r="AE15" i="1"/>
  <c r="AE17" i="1"/>
  <c r="J42" i="1"/>
  <c r="AE42" i="1" s="1"/>
  <c r="K42" i="1"/>
  <c r="K41" i="1"/>
  <c r="J44" i="1"/>
  <c r="AE44" i="1" s="1"/>
  <c r="J46" i="1"/>
  <c r="AE46" i="1" s="1"/>
  <c r="J45" i="1"/>
  <c r="AE45" i="1" s="1"/>
  <c r="I43" i="1"/>
  <c r="K43" i="1" s="1"/>
  <c r="J6" i="1"/>
  <c r="J8" i="1"/>
  <c r="J5" i="1"/>
  <c r="J16" i="1"/>
  <c r="AE16" i="1" s="1"/>
  <c r="O6" i="1"/>
  <c r="P6" i="1" s="1"/>
  <c r="W6" i="1" s="1"/>
  <c r="Z6" i="1" s="1"/>
  <c r="I7" i="1"/>
  <c r="J7" i="1" s="1"/>
  <c r="I11" i="1"/>
  <c r="K11" i="1" s="1"/>
  <c r="AC11" i="1" s="1"/>
  <c r="I10" i="1"/>
  <c r="J10" i="1" s="1"/>
  <c r="AB7" i="1"/>
  <c r="K5" i="1"/>
  <c r="AC5" i="1" s="1"/>
  <c r="N8" i="1"/>
  <c r="W8" i="1" s="1"/>
  <c r="Z8" i="1" s="1"/>
  <c r="K6" i="1"/>
  <c r="AC6" i="1" s="1"/>
  <c r="K8" i="1"/>
  <c r="O5" i="1"/>
  <c r="N5" i="1"/>
  <c r="M5" i="1"/>
  <c r="W11" i="1"/>
  <c r="W10" i="1"/>
  <c r="AB8" i="1"/>
  <c r="AB5" i="1"/>
  <c r="AB11" i="1"/>
  <c r="AB10" i="1"/>
  <c r="AB6" i="1"/>
  <c r="AB12" i="1"/>
  <c r="J43" i="1" l="1"/>
  <c r="AE43" i="1" s="1"/>
  <c r="I18" i="1"/>
  <c r="K7" i="1"/>
  <c r="AC7" i="1" s="1"/>
  <c r="O12" i="1"/>
  <c r="O13" i="1" s="1"/>
  <c r="O14" i="1" s="1"/>
  <c r="I47" i="1"/>
  <c r="AC28" i="1"/>
  <c r="AC35" i="1" s="1"/>
  <c r="K35" i="1"/>
  <c r="W28" i="1"/>
  <c r="U35" i="1"/>
  <c r="L5" i="1"/>
  <c r="J11" i="1"/>
  <c r="L11" i="1" s="1"/>
  <c r="Z11" i="1"/>
  <c r="P5" i="1"/>
  <c r="W5" i="1" s="1"/>
  <c r="AD5" i="1"/>
  <c r="AE5" i="1" s="1"/>
  <c r="AB13" i="1"/>
  <c r="AB14" i="1" s="1"/>
  <c r="I12" i="1"/>
  <c r="I13" i="1" s="1"/>
  <c r="I14" i="1" s="1"/>
  <c r="AE34" i="1"/>
  <c r="F88" i="1"/>
  <c r="J83" i="1"/>
  <c r="J88" i="1" s="1"/>
  <c r="L28" i="1"/>
  <c r="L8" i="1"/>
  <c r="K47" i="1"/>
  <c r="I88" i="1"/>
  <c r="K10" i="1"/>
  <c r="H37" i="1"/>
  <c r="L6" i="1"/>
  <c r="Z10" i="1"/>
  <c r="M7" i="1"/>
  <c r="N7" i="1" s="1"/>
  <c r="N12" i="1" s="1"/>
  <c r="G37" i="1"/>
  <c r="AD11" i="1"/>
  <c r="AD6" i="1"/>
  <c r="AE6" i="1" s="1"/>
  <c r="AC8" i="1"/>
  <c r="P12" i="1" l="1"/>
  <c r="P13" i="1" s="1"/>
  <c r="P14" i="1" s="1"/>
  <c r="AD7" i="1"/>
  <c r="AE7" i="1" s="1"/>
  <c r="J47" i="1"/>
  <c r="AE47" i="1" s="1"/>
  <c r="L7" i="1"/>
  <c r="AD28" i="1"/>
  <c r="AD35" i="1" s="1"/>
  <c r="AD36" i="1" s="1"/>
  <c r="AD37" i="1" s="1"/>
  <c r="J12" i="1"/>
  <c r="J13" i="1" s="1"/>
  <c r="U36" i="1"/>
  <c r="U37" i="1" s="1"/>
  <c r="Z28" i="1"/>
  <c r="Z35" i="1" s="1"/>
  <c r="W35" i="1"/>
  <c r="K36" i="1"/>
  <c r="K37" i="1" s="1"/>
  <c r="AA28" i="1"/>
  <c r="AA35" i="1" s="1"/>
  <c r="L35" i="1"/>
  <c r="AC36" i="1"/>
  <c r="AC37" i="1" s="1"/>
  <c r="AE11" i="1"/>
  <c r="M12" i="1"/>
  <c r="M13" i="1" s="1"/>
  <c r="N13" i="1"/>
  <c r="N14" i="1" s="1"/>
  <c r="Z5" i="1"/>
  <c r="W7" i="1"/>
  <c r="Z7" i="1" s="1"/>
  <c r="AC10" i="1"/>
  <c r="AC12" i="1" s="1"/>
  <c r="K12" i="1"/>
  <c r="K13" i="1" s="1"/>
  <c r="K14" i="1" s="1"/>
  <c r="L10" i="1"/>
  <c r="AD8" i="1"/>
  <c r="AE8" i="1" s="1"/>
  <c r="L12" i="1" l="1"/>
  <c r="L13" i="1" s="1"/>
  <c r="L14" i="1" s="1"/>
  <c r="J14" i="1"/>
  <c r="J18" i="1" s="1"/>
  <c r="AE18" i="1" s="1"/>
  <c r="AB28" i="1"/>
  <c r="AB35" i="1" s="1"/>
  <c r="L36" i="1"/>
  <c r="L37" i="1" s="1"/>
  <c r="Z36" i="1"/>
  <c r="Z37" i="1" s="1"/>
  <c r="AA36" i="1"/>
  <c r="AA37" i="1" s="1"/>
  <c r="W36" i="1"/>
  <c r="W37" i="1" s="1"/>
  <c r="M14" i="1"/>
  <c r="Z12" i="1"/>
  <c r="Z13" i="1" s="1"/>
  <c r="AD10" i="1"/>
  <c r="AE10" i="1" s="1"/>
  <c r="W12" i="1"/>
  <c r="AC13" i="1"/>
  <c r="AB36" i="1" l="1"/>
  <c r="AB37" i="1" s="1"/>
  <c r="AE28" i="1"/>
  <c r="AE35" i="1" s="1"/>
  <c r="AE36" i="1" s="1"/>
  <c r="AE37" i="1" s="1"/>
  <c r="Z14" i="1"/>
  <c r="AD12" i="1"/>
  <c r="W13" i="1"/>
  <c r="W14" i="1" s="1"/>
  <c r="AC14" i="1"/>
  <c r="AE12" i="1" l="1"/>
  <c r="AD13" i="1"/>
  <c r="AD14" i="1" l="1"/>
  <c r="AE14" i="1" s="1"/>
  <c r="AE13" i="1"/>
</calcChain>
</file>

<file path=xl/sharedStrings.xml><?xml version="1.0" encoding="utf-8"?>
<sst xmlns="http://schemas.openxmlformats.org/spreadsheetml/2006/main" count="92" uniqueCount="72">
  <si>
    <t>№ п/п</t>
  </si>
  <si>
    <t>Наименование работ</t>
  </si>
  <si>
    <t>Ед. изм.</t>
  </si>
  <si>
    <t>Объём СМР</t>
  </si>
  <si>
    <t>Цена работ СМР за ед., руб, вкл НДС 18%</t>
  </si>
  <si>
    <t>ГУ 5%</t>
  </si>
  <si>
    <t>Сроки выполнения работ</t>
  </si>
  <si>
    <t>проверка</t>
  </si>
  <si>
    <t>Декабрь'15</t>
  </si>
  <si>
    <t>начало (чч.мм.гг)</t>
  </si>
  <si>
    <t>окончание (чч.мм.гг)</t>
  </si>
  <si>
    <t xml:space="preserve"> НДС</t>
  </si>
  <si>
    <t xml:space="preserve">ВСЕГО без  НДС: </t>
  </si>
  <si>
    <t xml:space="preserve"> Авансовый платеж , руб., без  НДС*</t>
  </si>
  <si>
    <t>Оплата  по актам, руб., без НДС</t>
  </si>
  <si>
    <t xml:space="preserve">ВСЕГО с НДС: </t>
  </si>
  <si>
    <t>Выполнение по актам, руб., без НДС</t>
  </si>
  <si>
    <t xml:space="preserve">Воврат ГУ 50% в ноябрь 2016 </t>
  </si>
  <si>
    <t>Воврат ГУ 50% в май 2018</t>
  </si>
  <si>
    <t>Стоимость работ  Всего, руб, без НДС 18%</t>
  </si>
  <si>
    <t xml:space="preserve">Изготовление , доставка, сборка и монтаж  металлоконструкций вентиляционных шахт, огрунтованных и окрашенных </t>
  </si>
  <si>
    <t>Поставка, монтаж и натяжение стержней MacAlloy для перехода, включая поставку и монтаж необходимых пластин с установкой закладных деталей на отм. +4,225 в осях В6-В7/Г9-Г10 и на отметке +9,235 в осях В6-В7/Г9-Г10 (с их установкой на болты HILTI HSL-3 M20/60  - 32 шт на отм. +4,225 и болты HILTI HSL-3 M24/60  - 32 шт на отметке +9,235)</t>
  </si>
  <si>
    <t>КМ POS (демонтаж по оси В32 и монтаж по оси В13) Металлоконструкции фахверка перегородки</t>
  </si>
  <si>
    <t xml:space="preserve">СМР </t>
  </si>
  <si>
    <t>Поставка  стержней MacAlloy ТВ 520</t>
  </si>
  <si>
    <t>Поставка подвесной системы переходных мостиков</t>
  </si>
  <si>
    <t xml:space="preserve"> Монтаж подвесной системы переходных мостиков</t>
  </si>
  <si>
    <t>Материалы/оборудование</t>
  </si>
  <si>
    <t>СМР</t>
  </si>
  <si>
    <t>обор</t>
  </si>
  <si>
    <t xml:space="preserve">  поставкаМонтаж подвесной системы переходных мостиков</t>
  </si>
  <si>
    <t>установка металических анкерных пластин</t>
  </si>
  <si>
    <t>тн</t>
  </si>
  <si>
    <t>шт</t>
  </si>
  <si>
    <t xml:space="preserve">было </t>
  </si>
  <si>
    <t>Приложение № 5</t>
  </si>
  <si>
    <t>Воврат ГУ  2017</t>
  </si>
  <si>
    <t>Воврат ГУ 2019</t>
  </si>
  <si>
    <t>итого</t>
  </si>
  <si>
    <t>Оплата  по актам</t>
  </si>
  <si>
    <t xml:space="preserve">к Договору № 50104/05-05003/76-2017 от «05» июля 2017 г. </t>
  </si>
  <si>
    <t>Выполнение по актам, руб, без НДС</t>
  </si>
  <si>
    <t>Распределение цены договора</t>
  </si>
  <si>
    <t>Заказчик</t>
  </si>
  <si>
    <t>________________/А.С. Савченко/</t>
  </si>
  <si>
    <t>Подрядчик</t>
  </si>
  <si>
    <t>Приложение № 1</t>
  </si>
  <si>
    <t>к Договору № ________________от_____________ г.</t>
  </si>
  <si>
    <t xml:space="preserve">Наименование </t>
  </si>
  <si>
    <t>Количество</t>
  </si>
  <si>
    <t>__________________/____________/</t>
  </si>
  <si>
    <t>Разработка Рабочей документации</t>
  </si>
  <si>
    <t>Цена работ за ед., руб. без НДС</t>
  </si>
  <si>
    <t>Стоимость работ  
Всего, руб. без НДС</t>
  </si>
  <si>
    <t xml:space="preserve">НДС 18 % </t>
  </si>
  <si>
    <t xml:space="preserve">ВСЕГО с НДС 18%: </t>
  </si>
  <si>
    <t>комплекс</t>
  </si>
  <si>
    <t xml:space="preserve">Строительно-монтажные работы (в т.ч. демонтажные работы) </t>
  </si>
  <si>
    <t>комплект</t>
  </si>
  <si>
    <t>шт.</t>
  </si>
  <si>
    <t>Боллард противотаранный</t>
  </si>
  <si>
    <t>Гидропривод боллародов в боксе со встроенной панелью управления</t>
  </si>
  <si>
    <t>Прочее оборудование</t>
  </si>
  <si>
    <t>Пусконаладочные работы (в т.ч. тестовая эксплуатация)</t>
  </si>
  <si>
    <t>Основное оборудование:</t>
  </si>
  <si>
    <t>4.</t>
  </si>
  <si>
    <t>5.</t>
  </si>
  <si>
    <t>1.</t>
  </si>
  <si>
    <t>2.</t>
  </si>
  <si>
    <t>3.</t>
  </si>
  <si>
    <t>2.1.</t>
  </si>
  <si>
    <t>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</si>
</sst>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[$-419]mmmm\ yyyy;@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0"/>
      <name val="Calibri"/>
      <family val="2"/>
      <scheme val="minor"/>
    </font>
    <font>
      <sz val="12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0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0" fontId="21" fillId="0" borderId="0">
      <alignment horizontal="center"/>
    </xf>
    <xf numFmtId="0" fontId="21" fillId="0" borderId="0"/>
    <xf numFmtId="0" fontId="21" fillId="0" borderId="0"/>
    <xf numFmtId="0" fontId="22" fillId="0" borderId="0"/>
    <xf numFmtId="0" fontId="22" fillId="0" borderId="0">
      <alignment vertical="top"/>
    </xf>
    <xf numFmtId="0" fontId="21" fillId="0" borderId="0">
      <alignment horizontal="right" vertical="top" wrapText="1"/>
    </xf>
  </cellStyleXfs>
  <cellXfs count="128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5" fontId="5" fillId="4" borderId="5" xfId="0" applyNumberFormat="1" applyFont="1" applyFill="1" applyBorder="1" applyAlignment="1">
      <alignment horizontal="center" vertical="center" wrapText="1"/>
    </xf>
    <xf numFmtId="0" fontId="8" fillId="4" borderId="5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2" fillId="6" borderId="4" xfId="0" applyNumberFormat="1" applyFont="1" applyFill="1" applyBorder="1" applyAlignment="1">
      <alignment horizontal="right"/>
    </xf>
    <xf numFmtId="4" fontId="2" fillId="6" borderId="3" xfId="0" applyNumberFormat="1" applyFont="1" applyFill="1" applyBorder="1" applyAlignment="1">
      <alignment horizontal="right"/>
    </xf>
    <xf numFmtId="4" fontId="2" fillId="6" borderId="16" xfId="0" applyNumberFormat="1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/>
    </xf>
    <xf numFmtId="4" fontId="2" fillId="3" borderId="4" xfId="0" applyNumberFormat="1" applyFont="1" applyFill="1" applyBorder="1" applyAlignment="1">
      <alignment horizontal="center"/>
    </xf>
    <xf numFmtId="4" fontId="2" fillId="4" borderId="4" xfId="0" applyNumberFormat="1" applyFont="1" applyFill="1" applyBorder="1" applyAlignment="1">
      <alignment horizontal="center"/>
    </xf>
    <xf numFmtId="0" fontId="10" fillId="7" borderId="4" xfId="0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/>
    </xf>
    <xf numFmtId="0" fontId="9" fillId="7" borderId="14" xfId="1" applyFont="1" applyFill="1" applyBorder="1" applyAlignment="1">
      <alignment horizontal="left" vertical="center"/>
    </xf>
    <xf numFmtId="0" fontId="9" fillId="7" borderId="9" xfId="1" applyFont="1" applyFill="1" applyBorder="1" applyAlignment="1">
      <alignment horizontal="left" vertical="center"/>
    </xf>
    <xf numFmtId="0" fontId="9" fillId="7" borderId="12" xfId="1" applyFont="1" applyFill="1" applyBorder="1" applyAlignment="1">
      <alignment horizontal="left" vertical="center"/>
    </xf>
    <xf numFmtId="15" fontId="11" fillId="0" borderId="4" xfId="0" applyNumberFormat="1" applyFont="1" applyBorder="1"/>
    <xf numFmtId="0" fontId="2" fillId="0" borderId="20" xfId="0" applyFont="1" applyBorder="1" applyAlignment="1">
      <alignment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wrapText="1"/>
    </xf>
    <xf numFmtId="4" fontId="2" fillId="8" borderId="4" xfId="0" applyNumberFormat="1" applyFont="1" applyFill="1" applyBorder="1" applyAlignment="1">
      <alignment horizontal="center"/>
    </xf>
    <xf numFmtId="165" fontId="5" fillId="8" borderId="4" xfId="0" applyNumberFormat="1" applyFont="1" applyFill="1" applyBorder="1" applyAlignment="1">
      <alignment horizontal="center" vertical="center" wrapText="1"/>
    </xf>
    <xf numFmtId="49" fontId="4" fillId="8" borderId="4" xfId="0" applyNumberFormat="1" applyFont="1" applyFill="1" applyBorder="1" applyAlignment="1">
      <alignment horizontal="center" vertical="center" wrapText="1"/>
    </xf>
    <xf numFmtId="0" fontId="8" fillId="8" borderId="4" xfId="0" applyNumberFormat="1" applyFont="1" applyFill="1" applyBorder="1" applyAlignment="1">
      <alignment horizontal="center" vertical="center" wrapText="1"/>
    </xf>
    <xf numFmtId="164" fontId="5" fillId="8" borderId="4" xfId="0" applyNumberFormat="1" applyFont="1" applyFill="1" applyBorder="1" applyAlignment="1">
      <alignment horizontal="center" vertical="center" wrapText="1"/>
    </xf>
    <xf numFmtId="0" fontId="6" fillId="8" borderId="4" xfId="1" applyFont="1" applyFill="1" applyBorder="1" applyAlignment="1">
      <alignment horizontal="center" vertical="center"/>
    </xf>
    <xf numFmtId="0" fontId="7" fillId="8" borderId="4" xfId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horizontal="center"/>
    </xf>
    <xf numFmtId="15" fontId="11" fillId="8" borderId="4" xfId="0" applyNumberFormat="1" applyFont="1" applyFill="1" applyBorder="1"/>
    <xf numFmtId="0" fontId="13" fillId="9" borderId="1" xfId="0" applyFont="1" applyFill="1" applyBorder="1" applyAlignment="1">
      <alignment horizontal="center" wrapText="1"/>
    </xf>
    <xf numFmtId="0" fontId="13" fillId="9" borderId="5" xfId="0" applyFont="1" applyFill="1" applyBorder="1" applyAlignment="1">
      <alignment horizontal="center" wrapText="1"/>
    </xf>
    <xf numFmtId="0" fontId="0" fillId="0" borderId="25" xfId="0" applyBorder="1"/>
    <xf numFmtId="0" fontId="0" fillId="0" borderId="26" xfId="0" applyBorder="1"/>
    <xf numFmtId="0" fontId="12" fillId="0" borderId="0" xfId="0" applyFont="1"/>
    <xf numFmtId="0" fontId="14" fillId="0" borderId="0" xfId="0" applyFont="1" applyFill="1" applyAlignment="1">
      <alignment horizontal="right" vertical="center"/>
    </xf>
    <xf numFmtId="4" fontId="16" fillId="0" borderId="4" xfId="0" applyNumberFormat="1" applyFont="1" applyBorder="1" applyAlignment="1">
      <alignment horizontal="center"/>
    </xf>
    <xf numFmtId="0" fontId="15" fillId="0" borderId="0" xfId="0" applyFont="1" applyFill="1"/>
    <xf numFmtId="4" fontId="15" fillId="0" borderId="0" xfId="0" applyNumberFormat="1" applyFont="1" applyFill="1"/>
    <xf numFmtId="0" fontId="19" fillId="0" borderId="0" xfId="0" applyFont="1" applyFill="1" applyAlignment="1">
      <alignment horizontal="left" vertical="center"/>
    </xf>
    <xf numFmtId="0" fontId="20" fillId="0" borderId="0" xfId="0" applyFont="1"/>
    <xf numFmtId="0" fontId="19" fillId="0" borderId="0" xfId="0" applyFont="1" applyFill="1" applyAlignment="1">
      <alignment horizontal="justify" vertical="center"/>
    </xf>
    <xf numFmtId="4" fontId="15" fillId="0" borderId="0" xfId="0" applyNumberFormat="1" applyFont="1" applyFill="1" applyBorder="1"/>
    <xf numFmtId="0" fontId="15" fillId="0" borderId="0" xfId="0" applyFont="1" applyFill="1" applyBorder="1"/>
    <xf numFmtId="4" fontId="18" fillId="0" borderId="0" xfId="0" applyNumberFormat="1" applyFont="1" applyFill="1" applyBorder="1"/>
    <xf numFmtId="0" fontId="23" fillId="0" borderId="26" xfId="0" applyFont="1" applyBorder="1" applyAlignment="1">
      <alignment vertical="center"/>
    </xf>
    <xf numFmtId="0" fontId="24" fillId="0" borderId="4" xfId="0" applyFont="1" applyFill="1" applyBorder="1" applyAlignment="1">
      <alignment vertical="center" wrapText="1"/>
    </xf>
    <xf numFmtId="4" fontId="13" fillId="7" borderId="4" xfId="0" applyNumberFormat="1" applyFont="1" applyFill="1" applyBorder="1" applyAlignment="1">
      <alignment vertical="center"/>
    </xf>
    <xf numFmtId="4" fontId="25" fillId="7" borderId="4" xfId="0" applyNumberFormat="1" applyFont="1" applyFill="1" applyBorder="1" applyAlignment="1">
      <alignment vertical="center"/>
    </xf>
    <xf numFmtId="4" fontId="25" fillId="7" borderId="9" xfId="0" applyNumberFormat="1" applyFont="1" applyFill="1" applyBorder="1" applyAlignment="1">
      <alignment vertical="center"/>
    </xf>
    <xf numFmtId="4" fontId="25" fillId="0" borderId="4" xfId="0" applyNumberFormat="1" applyFont="1" applyBorder="1" applyAlignment="1">
      <alignment vertical="center"/>
    </xf>
    <xf numFmtId="4" fontId="25" fillId="3" borderId="4" xfId="0" applyNumberFormat="1" applyFont="1" applyFill="1" applyBorder="1" applyAlignment="1">
      <alignment vertical="center"/>
    </xf>
    <xf numFmtId="15" fontId="26" fillId="8" borderId="4" xfId="0" applyNumberFormat="1" applyFont="1" applyFill="1" applyBorder="1" applyAlignment="1">
      <alignment vertical="center"/>
    </xf>
    <xf numFmtId="4" fontId="25" fillId="4" borderId="4" xfId="0" applyNumberFormat="1" applyFont="1" applyFill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0" fillId="8" borderId="4" xfId="0" applyNumberFormat="1" applyFont="1" applyFill="1" applyBorder="1" applyAlignment="1">
      <alignment horizontal="center" wrapText="1"/>
    </xf>
    <xf numFmtId="4" fontId="12" fillId="0" borderId="0" xfId="0" applyNumberFormat="1" applyFont="1"/>
    <xf numFmtId="4" fontId="12" fillId="0" borderId="0" xfId="0" applyNumberFormat="1" applyFont="1" applyAlignment="1">
      <alignment horizontal="right"/>
    </xf>
    <xf numFmtId="4" fontId="27" fillId="0" borderId="4" xfId="0" applyNumberFormat="1" applyFont="1" applyBorder="1" applyAlignment="1">
      <alignment vertical="center"/>
    </xf>
    <xf numFmtId="4" fontId="28" fillId="0" borderId="0" xfId="0" applyNumberFormat="1" applyFont="1"/>
    <xf numFmtId="0" fontId="28" fillId="0" borderId="0" xfId="0" applyFont="1"/>
    <xf numFmtId="0" fontId="19" fillId="0" borderId="0" xfId="0" applyFont="1"/>
    <xf numFmtId="0" fontId="28" fillId="0" borderId="0" xfId="0" applyFont="1" applyFill="1"/>
    <xf numFmtId="4" fontId="28" fillId="0" borderId="0" xfId="0" applyNumberFormat="1" applyFont="1" applyFill="1"/>
    <xf numFmtId="4" fontId="28" fillId="0" borderId="0" xfId="0" applyNumberFormat="1" applyFont="1" applyFill="1" applyBorder="1"/>
    <xf numFmtId="4" fontId="29" fillId="0" borderId="0" xfId="0" applyNumberFormat="1" applyFont="1" applyFill="1" applyBorder="1"/>
    <xf numFmtId="0" fontId="28" fillId="0" borderId="0" xfId="0" applyFont="1" applyFill="1" applyBorder="1"/>
    <xf numFmtId="0" fontId="24" fillId="4" borderId="23" xfId="0" applyFont="1" applyFill="1" applyBorder="1" applyAlignment="1">
      <alignment horizontal="center" vertical="center" wrapText="1"/>
    </xf>
    <xf numFmtId="0" fontId="24" fillId="7" borderId="4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right"/>
    </xf>
    <xf numFmtId="0" fontId="24" fillId="0" borderId="4" xfId="0" applyFont="1" applyBorder="1" applyAlignment="1">
      <alignment wrapText="1"/>
    </xf>
    <xf numFmtId="4" fontId="2" fillId="0" borderId="32" xfId="0" applyNumberFormat="1" applyFont="1" applyFill="1" applyBorder="1" applyAlignment="1">
      <alignment horizontal="right"/>
    </xf>
    <xf numFmtId="0" fontId="0" fillId="0" borderId="0" xfId="0" applyBorder="1"/>
    <xf numFmtId="0" fontId="6" fillId="2" borderId="1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2" fontId="5" fillId="3" borderId="17" xfId="0" applyNumberFormat="1" applyFont="1" applyFill="1" applyBorder="1" applyAlignment="1">
      <alignment horizontal="center" vertical="center" wrapText="1"/>
    </xf>
    <xf numFmtId="2" fontId="5" fillId="3" borderId="18" xfId="0" applyNumberFormat="1" applyFont="1" applyFill="1" applyBorder="1" applyAlignment="1">
      <alignment horizontal="center" vertical="center" wrapText="1"/>
    </xf>
    <xf numFmtId="2" fontId="5" fillId="3" borderId="19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left" vertical="center"/>
    </xf>
    <xf numFmtId="0" fontId="9" fillId="5" borderId="11" xfId="1" applyFont="1" applyFill="1" applyBorder="1" applyAlignment="1">
      <alignment horizontal="left" vertical="center"/>
    </xf>
    <xf numFmtId="0" fontId="9" fillId="5" borderId="12" xfId="1" applyFont="1" applyFill="1" applyBorder="1" applyAlignment="1">
      <alignment horizontal="left" vertical="center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wrapText="1"/>
    </xf>
    <xf numFmtId="4" fontId="10" fillId="2" borderId="5" xfId="0" applyNumberFormat="1" applyFont="1" applyFill="1" applyBorder="1" applyAlignment="1">
      <alignment horizontal="center" wrapText="1"/>
    </xf>
    <xf numFmtId="0" fontId="17" fillId="0" borderId="28" xfId="0" applyFont="1" applyBorder="1" applyAlignment="1">
      <alignment horizontal="center"/>
    </xf>
    <xf numFmtId="0" fontId="13" fillId="2" borderId="21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6" xfId="1" applyFont="1" applyFill="1" applyBorder="1" applyAlignment="1">
      <alignment horizontal="center" vertical="center" wrapText="1"/>
    </xf>
    <xf numFmtId="0" fontId="9" fillId="5" borderId="15" xfId="1" applyFont="1" applyFill="1" applyBorder="1" applyAlignment="1">
      <alignment horizontal="left" vertical="center"/>
    </xf>
    <xf numFmtId="0" fontId="9" fillId="5" borderId="13" xfId="1" applyFont="1" applyFill="1" applyBorder="1" applyAlignment="1">
      <alignment horizontal="left" vertical="center"/>
    </xf>
    <xf numFmtId="0" fontId="9" fillId="5" borderId="14" xfId="1" applyFont="1" applyFill="1" applyBorder="1" applyAlignment="1">
      <alignment horizontal="left" vertical="center"/>
    </xf>
    <xf numFmtId="0" fontId="9" fillId="5" borderId="7" xfId="1" applyFont="1" applyFill="1" applyBorder="1" applyAlignment="1">
      <alignment horizontal="right" vertical="center"/>
    </xf>
    <xf numFmtId="0" fontId="9" fillId="5" borderId="8" xfId="1" applyFont="1" applyFill="1" applyBorder="1" applyAlignment="1">
      <alignment horizontal="right" vertical="center"/>
    </xf>
    <xf numFmtId="0" fontId="9" fillId="5" borderId="9" xfId="1" applyFont="1" applyFill="1" applyBorder="1" applyAlignment="1">
      <alignment horizontal="right" vertical="center"/>
    </xf>
    <xf numFmtId="0" fontId="9" fillId="5" borderId="27" xfId="1" applyFont="1" applyFill="1" applyBorder="1" applyAlignment="1">
      <alignment horizontal="right" vertical="center"/>
    </xf>
    <xf numFmtId="0" fontId="9" fillId="5" borderId="28" xfId="1" applyFont="1" applyFill="1" applyBorder="1" applyAlignment="1">
      <alignment horizontal="right" vertical="center"/>
    </xf>
    <xf numFmtId="0" fontId="9" fillId="5" borderId="31" xfId="1" applyFont="1" applyFill="1" applyBorder="1" applyAlignment="1">
      <alignment horizontal="right" vertical="center"/>
    </xf>
    <xf numFmtId="0" fontId="9" fillId="5" borderId="7" xfId="1" applyFont="1" applyFill="1" applyBorder="1" applyAlignment="1">
      <alignment horizontal="left" vertical="center"/>
    </xf>
    <xf numFmtId="0" fontId="9" fillId="5" borderId="8" xfId="1" applyFont="1" applyFill="1" applyBorder="1" applyAlignment="1">
      <alignment horizontal="left" vertical="center"/>
    </xf>
    <xf numFmtId="0" fontId="9" fillId="5" borderId="9" xfId="1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</cellXfs>
  <cellStyles count="8">
    <cellStyle name="Итоги" xfId="7"/>
    <cellStyle name="ИтогоБазЦ" xfId="4"/>
    <cellStyle name="ИтогоБИМ" xfId="5"/>
    <cellStyle name="ЛокСмМТСН" xfId="6"/>
    <cellStyle name="Обычный" xfId="0" builtinId="0"/>
    <cellStyle name="Обычный 8" xfId="1"/>
    <cellStyle name="Параметр" xfId="3"/>
    <cellStyle name="Титул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113"/>
  <sheetViews>
    <sheetView tabSelected="1" topLeftCell="B25" zoomScale="160" zoomScaleNormal="160" workbookViewId="0">
      <selection activeCell="C34" sqref="C34"/>
    </sheetView>
  </sheetViews>
  <sheetFormatPr defaultRowHeight="15" x14ac:dyDescent="0.25"/>
  <cols>
    <col min="1" max="1" width="0" hidden="1" customWidth="1"/>
    <col min="2" max="2" width="9.140625" style="42"/>
    <col min="3" max="3" width="45.85546875" style="42" customWidth="1"/>
    <col min="4" max="4" width="15.42578125" style="42" customWidth="1"/>
    <col min="5" max="5" width="15.5703125" style="42" customWidth="1"/>
    <col min="6" max="6" width="18.5703125" style="66" customWidth="1"/>
    <col min="7" max="8" width="18.28515625" style="42" hidden="1" customWidth="1"/>
    <col min="9" max="9" width="15.5703125" style="42" customWidth="1"/>
    <col min="10" max="10" width="16.85546875" hidden="1" customWidth="1"/>
    <col min="11" max="11" width="15" hidden="1" customWidth="1"/>
    <col min="12" max="12" width="14.140625" hidden="1" customWidth="1"/>
    <col min="13" max="13" width="14.5703125" hidden="1" customWidth="1"/>
    <col min="14" max="14" width="14.85546875" hidden="1" customWidth="1"/>
    <col min="15" max="15" width="14.28515625" hidden="1" customWidth="1"/>
    <col min="16" max="20" width="15.42578125" hidden="1" customWidth="1"/>
    <col min="21" max="23" width="14" hidden="1" customWidth="1"/>
    <col min="24" max="24" width="12.28515625" hidden="1" customWidth="1"/>
    <col min="25" max="25" width="12" hidden="1" customWidth="1"/>
    <col min="26" max="26" width="25.140625" hidden="1" customWidth="1"/>
    <col min="27" max="28" width="13.28515625" hidden="1" customWidth="1"/>
    <col min="29" max="29" width="10.5703125" hidden="1" customWidth="1"/>
    <col min="30" max="30" width="12.28515625" hidden="1" customWidth="1"/>
    <col min="31" max="31" width="24.7109375" hidden="1" customWidth="1"/>
    <col min="32" max="32" width="9.140625" hidden="1" customWidth="1"/>
    <col min="33" max="33" width="17" customWidth="1"/>
  </cols>
  <sheetData>
    <row r="1" spans="2:31" hidden="1" x14ac:dyDescent="0.25"/>
    <row r="2" spans="2:31" ht="42.75" hidden="1" customHeight="1" x14ac:dyDescent="0.25">
      <c r="B2" s="105" t="s">
        <v>0</v>
      </c>
      <c r="C2" s="105" t="s">
        <v>1</v>
      </c>
      <c r="D2" s="105" t="s">
        <v>2</v>
      </c>
      <c r="E2" s="105" t="s">
        <v>3</v>
      </c>
      <c r="F2" s="107" t="s">
        <v>4</v>
      </c>
      <c r="G2" s="17"/>
      <c r="H2" s="17"/>
      <c r="I2" s="126" t="s">
        <v>19</v>
      </c>
      <c r="J2" s="1" t="s">
        <v>13</v>
      </c>
      <c r="K2" s="90" t="s">
        <v>5</v>
      </c>
      <c r="L2" s="90" t="s">
        <v>14</v>
      </c>
      <c r="M2" s="92" t="s">
        <v>16</v>
      </c>
      <c r="N2" s="93"/>
      <c r="O2" s="93"/>
      <c r="P2" s="93"/>
      <c r="Q2" s="93"/>
      <c r="R2" s="93"/>
      <c r="S2" s="93"/>
      <c r="T2" s="93"/>
      <c r="U2" s="93"/>
      <c r="V2" s="93"/>
      <c r="W2" s="94"/>
      <c r="X2" s="95" t="s">
        <v>6</v>
      </c>
      <c r="Y2" s="95"/>
      <c r="Z2" s="83" t="s">
        <v>7</v>
      </c>
      <c r="AA2" s="85"/>
      <c r="AB2" s="85"/>
      <c r="AC2" s="86" t="s">
        <v>17</v>
      </c>
      <c r="AD2" s="112" t="s">
        <v>18</v>
      </c>
    </row>
    <row r="3" spans="2:31" ht="18.75" hidden="1" customHeight="1" x14ac:dyDescent="0.25">
      <c r="B3" s="106"/>
      <c r="C3" s="106"/>
      <c r="D3" s="106"/>
      <c r="E3" s="106"/>
      <c r="F3" s="108"/>
      <c r="G3" s="18"/>
      <c r="H3" s="18"/>
      <c r="I3" s="127"/>
      <c r="J3" s="2" t="s">
        <v>8</v>
      </c>
      <c r="K3" s="91"/>
      <c r="L3" s="91"/>
      <c r="M3" s="3">
        <v>42370</v>
      </c>
      <c r="N3" s="3">
        <v>42401</v>
      </c>
      <c r="O3" s="3">
        <v>42430</v>
      </c>
      <c r="P3" s="3">
        <v>42461</v>
      </c>
      <c r="Q3" s="3"/>
      <c r="R3" s="3"/>
      <c r="S3" s="3"/>
      <c r="T3" s="3"/>
      <c r="U3" s="3"/>
      <c r="V3" s="3"/>
      <c r="W3" s="4">
        <v>2016</v>
      </c>
      <c r="X3" s="5" t="s">
        <v>9</v>
      </c>
      <c r="Y3" s="5" t="s">
        <v>10</v>
      </c>
      <c r="Z3" s="84"/>
      <c r="AA3" s="6"/>
      <c r="AB3" s="7">
        <v>2016</v>
      </c>
      <c r="AC3" s="87"/>
      <c r="AD3" s="113"/>
    </row>
    <row r="4" spans="2:31" ht="18.75" hidden="1" customHeight="1" x14ac:dyDescent="0.25">
      <c r="B4" s="25"/>
      <c r="C4" s="25" t="s">
        <v>23</v>
      </c>
      <c r="D4" s="25"/>
      <c r="E4" s="25"/>
      <c r="F4" s="65"/>
      <c r="G4" s="26"/>
      <c r="H4" s="26"/>
      <c r="I4" s="27"/>
      <c r="J4" s="28"/>
      <c r="K4" s="29"/>
      <c r="L4" s="29"/>
      <c r="M4" s="28"/>
      <c r="N4" s="28"/>
      <c r="O4" s="28"/>
      <c r="P4" s="28"/>
      <c r="Q4" s="28"/>
      <c r="R4" s="28"/>
      <c r="S4" s="28"/>
      <c r="T4" s="28"/>
      <c r="U4" s="28"/>
      <c r="V4" s="28"/>
      <c r="W4" s="30"/>
      <c r="X4" s="31"/>
      <c r="Y4" s="31"/>
      <c r="Z4" s="32"/>
      <c r="AA4" s="28"/>
      <c r="AB4" s="30"/>
      <c r="AC4" s="33"/>
      <c r="AD4" s="33"/>
    </row>
    <row r="5" spans="2:31" ht="47.25" hidden="1" customHeight="1" x14ac:dyDescent="0.25">
      <c r="B5" s="12">
        <v>1</v>
      </c>
      <c r="C5" s="13" t="s">
        <v>20</v>
      </c>
      <c r="D5" s="12"/>
      <c r="E5" s="12"/>
      <c r="F5" s="14"/>
      <c r="G5" s="19">
        <v>1</v>
      </c>
      <c r="H5" s="19"/>
      <c r="I5" s="14">
        <v>10114944</v>
      </c>
      <c r="J5" s="14">
        <f>I5*37%</f>
        <v>3742529.28</v>
      </c>
      <c r="K5" s="14">
        <f>I5*5%</f>
        <v>505747.20000000001</v>
      </c>
      <c r="L5" s="14">
        <f>I5-J5-K5</f>
        <v>5866667.5199999996</v>
      </c>
      <c r="M5" s="14">
        <f>I5/4</f>
        <v>2528736</v>
      </c>
      <c r="N5" s="14">
        <f>I5/4</f>
        <v>2528736</v>
      </c>
      <c r="O5" s="14">
        <f>I5/4</f>
        <v>2528736</v>
      </c>
      <c r="P5" s="14">
        <f>I5-M5-N5-O5</f>
        <v>2528736</v>
      </c>
      <c r="Q5" s="14"/>
      <c r="R5" s="14"/>
      <c r="S5" s="14"/>
      <c r="T5" s="14"/>
      <c r="U5" s="14"/>
      <c r="V5" s="14"/>
      <c r="W5" s="15">
        <f>M5+N5+O5+P5</f>
        <v>10114944</v>
      </c>
      <c r="X5" s="23">
        <v>42373</v>
      </c>
      <c r="Y5" s="23">
        <v>42463</v>
      </c>
      <c r="Z5" s="14">
        <f>I5-W5</f>
        <v>0</v>
      </c>
      <c r="AA5" s="14"/>
      <c r="AB5" s="16" t="e">
        <f>#REF!+#REF!+#REF!+#REF!</f>
        <v>#REF!</v>
      </c>
      <c r="AC5" s="14">
        <f>ROUND(K5/2,2)</f>
        <v>252873.60000000001</v>
      </c>
      <c r="AD5" s="14">
        <f>K5-AC5</f>
        <v>252873.60000000001</v>
      </c>
      <c r="AE5" s="8" t="e">
        <f>I5-AB5-AC5-AD5-J5</f>
        <v>#REF!</v>
      </c>
    </row>
    <row r="6" spans="2:31" ht="31.5" hidden="1" customHeight="1" x14ac:dyDescent="0.25">
      <c r="B6" s="12">
        <v>2</v>
      </c>
      <c r="C6" s="13" t="s">
        <v>26</v>
      </c>
      <c r="D6" s="12"/>
      <c r="E6" s="12"/>
      <c r="F6" s="14"/>
      <c r="G6" s="19">
        <v>2</v>
      </c>
      <c r="H6" s="19"/>
      <c r="I6" s="14">
        <v>6122391.1299999999</v>
      </c>
      <c r="J6" s="14">
        <f t="shared" ref="J6:J8" si="0">I6*37%</f>
        <v>2265284.7200000002</v>
      </c>
      <c r="K6" s="14">
        <f t="shared" ref="K6:K11" si="1">I6*5%</f>
        <v>306119.56</v>
      </c>
      <c r="L6" s="14">
        <f t="shared" ref="L6:L11" si="2">I6-J6-K6</f>
        <v>3550986.85</v>
      </c>
      <c r="M6" s="14"/>
      <c r="N6" s="14"/>
      <c r="O6" s="14">
        <f>I6/2</f>
        <v>3061195.57</v>
      </c>
      <c r="P6" s="14">
        <f>I6-O6</f>
        <v>3061195.56</v>
      </c>
      <c r="Q6" s="14"/>
      <c r="R6" s="14"/>
      <c r="S6" s="14"/>
      <c r="T6" s="14"/>
      <c r="U6" s="14"/>
      <c r="V6" s="14"/>
      <c r="W6" s="15">
        <f>M6+N6+O6+P6</f>
        <v>6122391.1299999999</v>
      </c>
      <c r="X6" s="23">
        <v>42373</v>
      </c>
      <c r="Y6" s="23">
        <v>42490</v>
      </c>
      <c r="Z6" s="14">
        <f>I6-W6</f>
        <v>0</v>
      </c>
      <c r="AA6" s="14"/>
      <c r="AB6" s="16" t="e">
        <f>#REF!+#REF!+#REF!+#REF!</f>
        <v>#REF!</v>
      </c>
      <c r="AC6" s="14">
        <f>ROUND(K6/2,2)</f>
        <v>153059.78</v>
      </c>
      <c r="AD6" s="14">
        <f>K6-AC6</f>
        <v>153059.78</v>
      </c>
      <c r="AE6" s="8" t="e">
        <f>I6-AB6-AC6-AD6-J6</f>
        <v>#REF!</v>
      </c>
    </row>
    <row r="7" spans="2:31" ht="141.75" hidden="1" customHeight="1" x14ac:dyDescent="0.25">
      <c r="B7" s="12">
        <v>3</v>
      </c>
      <c r="C7" s="13" t="s">
        <v>21</v>
      </c>
      <c r="D7" s="12"/>
      <c r="E7" s="12"/>
      <c r="F7" s="14"/>
      <c r="G7" s="19">
        <v>10</v>
      </c>
      <c r="H7" s="19"/>
      <c r="I7" s="14">
        <f>800000+229355+6491200-533938.66</f>
        <v>6986616.3399999999</v>
      </c>
      <c r="J7" s="14">
        <f t="shared" si="0"/>
        <v>2585048.0499999998</v>
      </c>
      <c r="K7" s="14">
        <f t="shared" si="1"/>
        <v>349330.82</v>
      </c>
      <c r="L7" s="14">
        <f t="shared" si="2"/>
        <v>4052237.47</v>
      </c>
      <c r="M7" s="14">
        <f>I7/2</f>
        <v>3493308.17</v>
      </c>
      <c r="N7" s="14">
        <f>I7-M7</f>
        <v>3493308.17</v>
      </c>
      <c r="O7" s="14"/>
      <c r="P7" s="14"/>
      <c r="Q7" s="14"/>
      <c r="R7" s="14"/>
      <c r="S7" s="14"/>
      <c r="T7" s="14"/>
      <c r="U7" s="14"/>
      <c r="V7" s="14"/>
      <c r="W7" s="15">
        <f>M7+N7+O7+P7</f>
        <v>6986616.3399999999</v>
      </c>
      <c r="X7" s="23">
        <v>42373</v>
      </c>
      <c r="Y7" s="23">
        <v>42426</v>
      </c>
      <c r="Z7" s="14">
        <f>I7-W7</f>
        <v>0</v>
      </c>
      <c r="AA7" s="14"/>
      <c r="AB7" s="16" t="e">
        <f>#REF!+#REF!+#REF!+#REF!</f>
        <v>#REF!</v>
      </c>
      <c r="AC7" s="14">
        <f>ROUND(K7/2,2)</f>
        <v>174665.41</v>
      </c>
      <c r="AD7" s="14">
        <f>K7-AC7</f>
        <v>174665.41</v>
      </c>
      <c r="AE7" s="8" t="e">
        <f>I7-AB7-AC7-AD7-J7</f>
        <v>#REF!</v>
      </c>
    </row>
    <row r="8" spans="2:31" ht="48" hidden="1" customHeight="1" thickBot="1" x14ac:dyDescent="0.3">
      <c r="B8" s="12">
        <v>4</v>
      </c>
      <c r="C8" s="24" t="s">
        <v>22</v>
      </c>
      <c r="D8" s="12"/>
      <c r="E8" s="12"/>
      <c r="F8" s="14"/>
      <c r="G8" s="19">
        <v>3</v>
      </c>
      <c r="H8" s="19"/>
      <c r="I8" s="14">
        <v>396602.37</v>
      </c>
      <c r="J8" s="14">
        <f t="shared" si="0"/>
        <v>146742.88</v>
      </c>
      <c r="K8" s="14">
        <f t="shared" si="1"/>
        <v>19830.12</v>
      </c>
      <c r="L8" s="14">
        <f t="shared" si="2"/>
        <v>230029.37</v>
      </c>
      <c r="M8" s="14">
        <v>396602.37</v>
      </c>
      <c r="N8" s="14">
        <f>I8-M8</f>
        <v>0</v>
      </c>
      <c r="O8" s="14"/>
      <c r="P8" s="14"/>
      <c r="Q8" s="14"/>
      <c r="R8" s="14"/>
      <c r="S8" s="14"/>
      <c r="T8" s="14"/>
      <c r="U8" s="14"/>
      <c r="V8" s="14"/>
      <c r="W8" s="15">
        <f>M8+N8+O8+P8</f>
        <v>396602.37</v>
      </c>
      <c r="X8" s="23">
        <v>42373</v>
      </c>
      <c r="Y8" s="23">
        <v>42399</v>
      </c>
      <c r="Z8" s="14">
        <f>I8-W8</f>
        <v>0</v>
      </c>
      <c r="AA8" s="14"/>
      <c r="AB8" s="16" t="e">
        <f>#REF!+#REF!+#REF!+#REF!</f>
        <v>#REF!</v>
      </c>
      <c r="AC8" s="14">
        <f>ROUND(K8/2,2)</f>
        <v>9915.06</v>
      </c>
      <c r="AD8" s="14">
        <f>K8-AC8</f>
        <v>9915.06</v>
      </c>
      <c r="AE8" s="8" t="e">
        <f>I8-AB8-AC8-AD8-J8</f>
        <v>#REF!</v>
      </c>
    </row>
    <row r="9" spans="2:31" ht="15.75" hidden="1" customHeight="1" x14ac:dyDescent="0.25">
      <c r="B9" s="34"/>
      <c r="C9" s="35" t="s">
        <v>27</v>
      </c>
      <c r="D9" s="34"/>
      <c r="E9" s="34"/>
      <c r="F9" s="27"/>
      <c r="G9" s="36"/>
      <c r="H9" s="36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37"/>
      <c r="Y9" s="37"/>
      <c r="Z9" s="27"/>
      <c r="AA9" s="27"/>
      <c r="AB9" s="27"/>
      <c r="AC9" s="27"/>
      <c r="AD9" s="27"/>
      <c r="AE9" s="8"/>
    </row>
    <row r="10" spans="2:31" ht="15.75" hidden="1" x14ac:dyDescent="0.25">
      <c r="B10" s="12">
        <v>5</v>
      </c>
      <c r="C10" s="13" t="s">
        <v>24</v>
      </c>
      <c r="D10" s="12"/>
      <c r="E10" s="12"/>
      <c r="F10" s="14"/>
      <c r="G10" s="19">
        <v>16</v>
      </c>
      <c r="H10" s="19"/>
      <c r="I10" s="14">
        <f>13500*80</f>
        <v>1080000</v>
      </c>
      <c r="J10" s="14">
        <f>I10*90%</f>
        <v>972000</v>
      </c>
      <c r="K10" s="14">
        <f t="shared" si="1"/>
        <v>54000</v>
      </c>
      <c r="L10" s="14">
        <f t="shared" si="2"/>
        <v>54000</v>
      </c>
      <c r="M10" s="14"/>
      <c r="N10" s="14">
        <v>1080000</v>
      </c>
      <c r="O10" s="14"/>
      <c r="P10" s="14"/>
      <c r="Q10" s="14"/>
      <c r="R10" s="14"/>
      <c r="S10" s="14"/>
      <c r="T10" s="14"/>
      <c r="U10" s="14"/>
      <c r="V10" s="14"/>
      <c r="W10" s="15">
        <f>M10+N10+O10+P10</f>
        <v>1080000</v>
      </c>
      <c r="X10" s="23">
        <v>42373</v>
      </c>
      <c r="Y10" s="23">
        <v>42426</v>
      </c>
      <c r="Z10" s="14">
        <f>I10-W10</f>
        <v>0</v>
      </c>
      <c r="AA10" s="14"/>
      <c r="AB10" s="16" t="e">
        <f>#REF!+#REF!+#REF!+#REF!</f>
        <v>#REF!</v>
      </c>
      <c r="AC10" s="14">
        <f>ROUND(K10/2,2)</f>
        <v>27000</v>
      </c>
      <c r="AD10" s="14">
        <f>K10-AC10</f>
        <v>27000</v>
      </c>
      <c r="AE10" s="8" t="e">
        <f t="shared" ref="AE10:AE18" si="3">I10-AB10-AC10-AD10-J10</f>
        <v>#REF!</v>
      </c>
    </row>
    <row r="11" spans="2:31" ht="31.5" hidden="1" x14ac:dyDescent="0.25">
      <c r="B11" s="12">
        <v>6</v>
      </c>
      <c r="C11" s="13" t="s">
        <v>25</v>
      </c>
      <c r="D11" s="12"/>
      <c r="E11" s="12"/>
      <c r="F11" s="14"/>
      <c r="G11" s="19">
        <v>49</v>
      </c>
      <c r="H11" s="19"/>
      <c r="I11" s="14">
        <f>41519664*70%</f>
        <v>29063764.800000001</v>
      </c>
      <c r="J11" s="14">
        <f>I11*90%</f>
        <v>26157388.32</v>
      </c>
      <c r="K11" s="14">
        <f t="shared" si="1"/>
        <v>1453188.24</v>
      </c>
      <c r="L11" s="14">
        <f t="shared" si="2"/>
        <v>1453188.24</v>
      </c>
      <c r="M11" s="14"/>
      <c r="N11" s="14"/>
      <c r="O11" s="14"/>
      <c r="P11" s="14">
        <v>29063764.800000001</v>
      </c>
      <c r="Q11" s="14"/>
      <c r="R11" s="14"/>
      <c r="S11" s="14"/>
      <c r="T11" s="14"/>
      <c r="U11" s="14"/>
      <c r="V11" s="14"/>
      <c r="W11" s="15">
        <f>M11+N11+O11+P11</f>
        <v>29063764.800000001</v>
      </c>
      <c r="X11" s="23">
        <v>42373</v>
      </c>
      <c r="Y11" s="23">
        <v>42480</v>
      </c>
      <c r="Z11" s="14">
        <f>I11-W11</f>
        <v>0</v>
      </c>
      <c r="AA11" s="14"/>
      <c r="AB11" s="16" t="e">
        <f>#REF!+#REF!+#REF!+#REF!</f>
        <v>#REF!</v>
      </c>
      <c r="AC11" s="14">
        <f>ROUND(K11/2,2)</f>
        <v>726594.12</v>
      </c>
      <c r="AD11" s="14">
        <f>K11-AC11</f>
        <v>726594.12</v>
      </c>
      <c r="AE11" s="8" t="e">
        <f t="shared" si="3"/>
        <v>#REF!</v>
      </c>
    </row>
    <row r="12" spans="2:31" ht="15.75" hidden="1" x14ac:dyDescent="0.25">
      <c r="B12" s="114" t="s">
        <v>12</v>
      </c>
      <c r="C12" s="115"/>
      <c r="D12" s="115"/>
      <c r="E12" s="115"/>
      <c r="F12" s="116"/>
      <c r="G12" s="20"/>
      <c r="H12" s="20"/>
      <c r="I12" s="11">
        <f t="shared" ref="I12:W12" si="4">SUM(I5:I11)</f>
        <v>53764318.640000001</v>
      </c>
      <c r="J12" s="11">
        <f t="shared" si="4"/>
        <v>35868993.25</v>
      </c>
      <c r="K12" s="11">
        <f t="shared" si="4"/>
        <v>2688215.94</v>
      </c>
      <c r="L12" s="11">
        <f t="shared" si="4"/>
        <v>15207109.449999999</v>
      </c>
      <c r="M12" s="11">
        <f t="shared" si="4"/>
        <v>6418646.54</v>
      </c>
      <c r="N12" s="11">
        <f t="shared" si="4"/>
        <v>7102044.1699999999</v>
      </c>
      <c r="O12" s="11">
        <f t="shared" si="4"/>
        <v>5589931.5700000003</v>
      </c>
      <c r="P12" s="11">
        <f t="shared" si="4"/>
        <v>34653696.359999999</v>
      </c>
      <c r="Q12" s="11"/>
      <c r="R12" s="11"/>
      <c r="S12" s="11"/>
      <c r="T12" s="11"/>
      <c r="U12" s="11"/>
      <c r="V12" s="11"/>
      <c r="W12" s="11">
        <f t="shared" si="4"/>
        <v>53764318.640000001</v>
      </c>
      <c r="X12" s="11"/>
      <c r="Y12" s="11"/>
      <c r="Z12" s="11">
        <f t="shared" ref="Z12:AD12" si="5">SUM(Z5:Z11)</f>
        <v>0</v>
      </c>
      <c r="AA12" s="11"/>
      <c r="AB12" s="11" t="e">
        <f t="shared" si="5"/>
        <v>#REF!</v>
      </c>
      <c r="AC12" s="11">
        <f t="shared" si="5"/>
        <v>1344107.97</v>
      </c>
      <c r="AD12" s="11">
        <f t="shared" si="5"/>
        <v>1344107.97</v>
      </c>
      <c r="AE12" s="8" t="e">
        <f t="shared" si="3"/>
        <v>#REF!</v>
      </c>
    </row>
    <row r="13" spans="2:31" ht="15.75" hidden="1" x14ac:dyDescent="0.25">
      <c r="B13" s="123" t="s">
        <v>11</v>
      </c>
      <c r="C13" s="124"/>
      <c r="D13" s="124"/>
      <c r="E13" s="124"/>
      <c r="F13" s="125"/>
      <c r="G13" s="21"/>
      <c r="H13" s="21"/>
      <c r="I13" s="9">
        <f>I12*18%</f>
        <v>9677577.3599999994</v>
      </c>
      <c r="J13" s="9">
        <f t="shared" ref="J13:AD13" si="6">J12*18%</f>
        <v>6456418.79</v>
      </c>
      <c r="K13" s="9">
        <f t="shared" si="6"/>
        <v>483878.87</v>
      </c>
      <c r="L13" s="9">
        <f t="shared" si="6"/>
        <v>2737279.7</v>
      </c>
      <c r="M13" s="9">
        <f t="shared" si="6"/>
        <v>1155356.3799999999</v>
      </c>
      <c r="N13" s="9">
        <f t="shared" si="6"/>
        <v>1278367.95</v>
      </c>
      <c r="O13" s="9">
        <f t="shared" si="6"/>
        <v>1006187.68</v>
      </c>
      <c r="P13" s="9">
        <f t="shared" si="6"/>
        <v>6237665.3399999999</v>
      </c>
      <c r="Q13" s="9"/>
      <c r="R13" s="9"/>
      <c r="S13" s="9"/>
      <c r="T13" s="9"/>
      <c r="U13" s="9"/>
      <c r="V13" s="9"/>
      <c r="W13" s="9">
        <f t="shared" si="6"/>
        <v>9677577.3599999994</v>
      </c>
      <c r="X13" s="9"/>
      <c r="Y13" s="9"/>
      <c r="Z13" s="9">
        <f t="shared" si="6"/>
        <v>0</v>
      </c>
      <c r="AA13" s="9"/>
      <c r="AB13" s="9" t="e">
        <f>AB12*18%+0.01</f>
        <v>#REF!</v>
      </c>
      <c r="AC13" s="9">
        <f t="shared" si="6"/>
        <v>241939.43</v>
      </c>
      <c r="AD13" s="9">
        <f t="shared" si="6"/>
        <v>241939.43</v>
      </c>
      <c r="AE13" s="8" t="e">
        <f t="shared" si="3"/>
        <v>#REF!</v>
      </c>
    </row>
    <row r="14" spans="2:31" ht="16.5" hidden="1" thickBot="1" x14ac:dyDescent="0.3">
      <c r="B14" s="96" t="s">
        <v>15</v>
      </c>
      <c r="C14" s="97"/>
      <c r="D14" s="97"/>
      <c r="E14" s="97"/>
      <c r="F14" s="98"/>
      <c r="G14" s="22"/>
      <c r="H14" s="22"/>
      <c r="I14" s="10">
        <f>I12+I13</f>
        <v>63441896</v>
      </c>
      <c r="J14" s="10">
        <f t="shared" ref="J14:AD14" si="7">J12+J13</f>
        <v>42325412.039999999</v>
      </c>
      <c r="K14" s="10">
        <f t="shared" si="7"/>
        <v>3172094.81</v>
      </c>
      <c r="L14" s="10">
        <f t="shared" si="7"/>
        <v>17944389.149999999</v>
      </c>
      <c r="M14" s="10">
        <f t="shared" si="7"/>
        <v>7574002.9199999999</v>
      </c>
      <c r="N14" s="10">
        <f t="shared" si="7"/>
        <v>8380412.1200000001</v>
      </c>
      <c r="O14" s="10">
        <f t="shared" si="7"/>
        <v>6596119.25</v>
      </c>
      <c r="P14" s="10">
        <f t="shared" si="7"/>
        <v>40891361.700000003</v>
      </c>
      <c r="Q14" s="10"/>
      <c r="R14" s="10"/>
      <c r="S14" s="10"/>
      <c r="T14" s="10"/>
      <c r="U14" s="10"/>
      <c r="V14" s="10"/>
      <c r="W14" s="10">
        <f t="shared" si="7"/>
        <v>63441896</v>
      </c>
      <c r="X14" s="10"/>
      <c r="Y14" s="10"/>
      <c r="Z14" s="10">
        <f t="shared" si="7"/>
        <v>0</v>
      </c>
      <c r="AA14" s="10"/>
      <c r="AB14" s="10" t="e">
        <f t="shared" si="7"/>
        <v>#REF!</v>
      </c>
      <c r="AC14" s="10">
        <f t="shared" si="7"/>
        <v>1586047.4</v>
      </c>
      <c r="AD14" s="10">
        <f t="shared" si="7"/>
        <v>1586047.4</v>
      </c>
      <c r="AE14" s="8" t="e">
        <f t="shared" si="3"/>
        <v>#REF!</v>
      </c>
    </row>
    <row r="15" spans="2:31" hidden="1" x14ac:dyDescent="0.25">
      <c r="AE15" s="8">
        <f t="shared" si="3"/>
        <v>0</v>
      </c>
    </row>
    <row r="16" spans="2:31" ht="15.75" hidden="1" x14ac:dyDescent="0.25">
      <c r="J16" s="14">
        <f>41519664+1053000</f>
        <v>42572664</v>
      </c>
      <c r="AE16" s="8">
        <f t="shared" si="3"/>
        <v>-42572664</v>
      </c>
    </row>
    <row r="17" spans="1:31" hidden="1" x14ac:dyDescent="0.25">
      <c r="AE17" s="8">
        <f t="shared" si="3"/>
        <v>0</v>
      </c>
    </row>
    <row r="18" spans="1:31" hidden="1" x14ac:dyDescent="0.25">
      <c r="I18" s="66">
        <f>I5+I6+I7+I8</f>
        <v>23620553.84</v>
      </c>
      <c r="J18" s="8">
        <f>J14-J16</f>
        <v>-247251.96</v>
      </c>
      <c r="AE18" s="8">
        <f t="shared" si="3"/>
        <v>23867805.800000001</v>
      </c>
    </row>
    <row r="19" spans="1:31" x14ac:dyDescent="0.25">
      <c r="I19" s="66"/>
      <c r="J19" s="8"/>
      <c r="AE19" s="8"/>
    </row>
    <row r="20" spans="1:31" ht="15.75" x14ac:dyDescent="0.25">
      <c r="I20" s="67" t="s">
        <v>46</v>
      </c>
      <c r="J20" s="8"/>
      <c r="AD20" s="43" t="s">
        <v>35</v>
      </c>
      <c r="AE20" s="8"/>
    </row>
    <row r="21" spans="1:31" ht="15.75" x14ac:dyDescent="0.25">
      <c r="I21" s="67" t="s">
        <v>47</v>
      </c>
      <c r="J21" s="8"/>
      <c r="AD21" s="43" t="s">
        <v>40</v>
      </c>
      <c r="AE21" s="8"/>
    </row>
    <row r="22" spans="1:31" ht="15.75" x14ac:dyDescent="0.25">
      <c r="I22" s="67"/>
      <c r="J22" s="8"/>
      <c r="AD22" s="43"/>
      <c r="AE22" s="8"/>
    </row>
    <row r="23" spans="1:31" ht="15.75" x14ac:dyDescent="0.25">
      <c r="I23" s="67"/>
      <c r="J23" s="8"/>
      <c r="AD23" s="43"/>
      <c r="AE23" s="8"/>
    </row>
    <row r="24" spans="1:31" ht="15.75" x14ac:dyDescent="0.25">
      <c r="I24" s="66"/>
      <c r="J24" s="8"/>
      <c r="AD24" s="43"/>
      <c r="AE24" s="8"/>
    </row>
    <row r="25" spans="1:31" ht="21" thickBot="1" x14ac:dyDescent="0.35">
      <c r="B25" s="109" t="s">
        <v>42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8"/>
    </row>
    <row r="26" spans="1:31" ht="36" customHeight="1" x14ac:dyDescent="0.25">
      <c r="A26" s="40"/>
      <c r="B26" s="110" t="s">
        <v>0</v>
      </c>
      <c r="C26" s="101" t="s">
        <v>48</v>
      </c>
      <c r="D26" s="101" t="s">
        <v>2</v>
      </c>
      <c r="E26" s="101" t="s">
        <v>49</v>
      </c>
      <c r="F26" s="103" t="s">
        <v>52</v>
      </c>
      <c r="G26" s="38" t="s">
        <v>7</v>
      </c>
      <c r="H26" s="38" t="s">
        <v>7</v>
      </c>
      <c r="I26" s="88" t="s">
        <v>53</v>
      </c>
      <c r="J26" s="99" t="s">
        <v>13</v>
      </c>
      <c r="K26" s="90" t="s">
        <v>5</v>
      </c>
      <c r="L26" s="90" t="s">
        <v>39</v>
      </c>
      <c r="M26" s="92" t="s">
        <v>41</v>
      </c>
      <c r="N26" s="93"/>
      <c r="O26" s="93"/>
      <c r="P26" s="93"/>
      <c r="Q26" s="93"/>
      <c r="R26" s="93"/>
      <c r="S26" s="93"/>
      <c r="T26" s="93"/>
      <c r="U26" s="93"/>
      <c r="V26" s="93"/>
      <c r="W26" s="94"/>
      <c r="X26" s="95" t="s">
        <v>6</v>
      </c>
      <c r="Y26" s="95"/>
      <c r="Z26" s="83" t="s">
        <v>7</v>
      </c>
      <c r="AA26" s="85"/>
      <c r="AB26" s="85"/>
      <c r="AC26" s="86" t="s">
        <v>36</v>
      </c>
      <c r="AD26" s="112" t="s">
        <v>37</v>
      </c>
      <c r="AE26" s="8"/>
    </row>
    <row r="27" spans="1:31" ht="32.25" customHeight="1" x14ac:dyDescent="0.25">
      <c r="A27" s="41"/>
      <c r="B27" s="111"/>
      <c r="C27" s="102"/>
      <c r="D27" s="102"/>
      <c r="E27" s="102"/>
      <c r="F27" s="104"/>
      <c r="G27" s="39"/>
      <c r="H27" s="39"/>
      <c r="I27" s="89"/>
      <c r="J27" s="100"/>
      <c r="K27" s="91"/>
      <c r="L27" s="91"/>
      <c r="M27" s="3">
        <v>42401</v>
      </c>
      <c r="N27" s="3">
        <v>42430</v>
      </c>
      <c r="O27" s="3">
        <v>42461</v>
      </c>
      <c r="P27" s="3">
        <v>42491</v>
      </c>
      <c r="Q27" s="3">
        <v>42522</v>
      </c>
      <c r="R27" s="3">
        <v>42552</v>
      </c>
      <c r="S27" s="3">
        <v>42583</v>
      </c>
      <c r="T27" s="3">
        <v>42615</v>
      </c>
      <c r="U27" s="3">
        <v>42917</v>
      </c>
      <c r="V27" s="3">
        <v>42949</v>
      </c>
      <c r="W27" s="4" t="s">
        <v>38</v>
      </c>
      <c r="X27" s="5" t="s">
        <v>9</v>
      </c>
      <c r="Y27" s="5" t="s">
        <v>10</v>
      </c>
      <c r="Z27" s="84"/>
      <c r="AA27" s="6">
        <v>42948</v>
      </c>
      <c r="AB27" s="7" t="s">
        <v>38</v>
      </c>
      <c r="AC27" s="87"/>
      <c r="AD27" s="113"/>
      <c r="AE27" s="8"/>
    </row>
    <row r="28" spans="1:31" s="64" customFormat="1" ht="22.5" customHeight="1" x14ac:dyDescent="0.25">
      <c r="A28" s="53"/>
      <c r="B28" s="77" t="s">
        <v>67</v>
      </c>
      <c r="C28" s="54" t="s">
        <v>51</v>
      </c>
      <c r="D28" s="78" t="s">
        <v>56</v>
      </c>
      <c r="E28" s="78">
        <v>1</v>
      </c>
      <c r="F28" s="68"/>
      <c r="G28" s="56"/>
      <c r="H28" s="57"/>
      <c r="I28" s="55"/>
      <c r="J28" s="58"/>
      <c r="K28" s="58" t="e">
        <f>#REF!*5%</f>
        <v>#REF!</v>
      </c>
      <c r="L28" s="58" t="e">
        <f>#REF!-K28</f>
        <v>#REF!</v>
      </c>
      <c r="M28" s="58"/>
      <c r="N28" s="58"/>
      <c r="O28" s="58"/>
      <c r="P28" s="55"/>
      <c r="Q28" s="55"/>
      <c r="R28" s="55"/>
      <c r="S28" s="55"/>
      <c r="T28" s="55"/>
      <c r="U28" s="55" t="e">
        <f>#REF!</f>
        <v>#REF!</v>
      </c>
      <c r="V28" s="55"/>
      <c r="W28" s="59" t="e">
        <f t="shared" ref="W28:W34" si="8">U28</f>
        <v>#REF!</v>
      </c>
      <c r="X28" s="60">
        <v>42922</v>
      </c>
      <c r="Y28" s="60">
        <v>42946</v>
      </c>
      <c r="Z28" s="58" t="e">
        <f>I28-W28</f>
        <v>#REF!</v>
      </c>
      <c r="AA28" s="58" t="e">
        <f t="shared" ref="AA28:AA34" si="9">L28</f>
        <v>#REF!</v>
      </c>
      <c r="AB28" s="61" t="e">
        <f>AA28</f>
        <v>#REF!</v>
      </c>
      <c r="AC28" s="58" t="e">
        <f t="shared" ref="AC28:AC34" si="10">K28/2</f>
        <v>#REF!</v>
      </c>
      <c r="AD28" s="62" t="e">
        <f t="shared" ref="AD28:AD34" si="11">K28-AC28</f>
        <v>#REF!</v>
      </c>
      <c r="AE28" s="63" t="e">
        <f>#REF!-AB28-AC28-AD28</f>
        <v>#REF!</v>
      </c>
    </row>
    <row r="29" spans="1:31" s="64" customFormat="1" ht="25.5" customHeight="1" x14ac:dyDescent="0.25">
      <c r="A29" s="53"/>
      <c r="B29" s="77" t="s">
        <v>68</v>
      </c>
      <c r="C29" s="54" t="s">
        <v>64</v>
      </c>
      <c r="D29" s="78"/>
      <c r="E29" s="78"/>
      <c r="F29" s="68"/>
      <c r="G29" s="56"/>
      <c r="H29" s="57"/>
      <c r="I29" s="55"/>
      <c r="J29" s="58"/>
      <c r="K29" s="58"/>
      <c r="L29" s="58"/>
      <c r="M29" s="58"/>
      <c r="N29" s="58"/>
      <c r="O29" s="58"/>
      <c r="P29" s="55"/>
      <c r="Q29" s="55"/>
      <c r="R29" s="55"/>
      <c r="S29" s="55"/>
      <c r="T29" s="55"/>
      <c r="U29" s="55"/>
      <c r="V29" s="55"/>
      <c r="W29" s="59"/>
      <c r="X29" s="60"/>
      <c r="Y29" s="60"/>
      <c r="Z29" s="58"/>
      <c r="AA29" s="58"/>
      <c r="AB29" s="61"/>
      <c r="AC29" s="58"/>
      <c r="AD29" s="62"/>
      <c r="AE29" s="63"/>
    </row>
    <row r="30" spans="1:31" s="64" customFormat="1" ht="20.25" customHeight="1" x14ac:dyDescent="0.25">
      <c r="A30" s="53"/>
      <c r="B30" s="77" t="s">
        <v>70</v>
      </c>
      <c r="C30" s="54" t="s">
        <v>60</v>
      </c>
      <c r="D30" s="78" t="s">
        <v>59</v>
      </c>
      <c r="E30" s="78">
        <v>8</v>
      </c>
      <c r="F30" s="68"/>
      <c r="G30" s="56"/>
      <c r="H30" s="57"/>
      <c r="I30" s="55"/>
      <c r="J30" s="58"/>
      <c r="K30" s="58"/>
      <c r="L30" s="58"/>
      <c r="M30" s="58"/>
      <c r="N30" s="58"/>
      <c r="O30" s="58"/>
      <c r="P30" s="55"/>
      <c r="Q30" s="55"/>
      <c r="R30" s="55"/>
      <c r="S30" s="55"/>
      <c r="T30" s="55"/>
      <c r="U30" s="55"/>
      <c r="V30" s="55"/>
      <c r="W30" s="59"/>
      <c r="X30" s="60"/>
      <c r="Y30" s="60"/>
      <c r="Z30" s="58"/>
      <c r="AA30" s="58"/>
      <c r="AB30" s="61"/>
      <c r="AC30" s="58"/>
      <c r="AD30" s="62"/>
      <c r="AE30" s="63"/>
    </row>
    <row r="31" spans="1:31" s="64" customFormat="1" ht="36.75" customHeight="1" x14ac:dyDescent="0.25">
      <c r="A31" s="53"/>
      <c r="B31" s="77" t="s">
        <v>71</v>
      </c>
      <c r="C31" s="54" t="s">
        <v>61</v>
      </c>
      <c r="D31" s="78" t="s">
        <v>59</v>
      </c>
      <c r="E31" s="78">
        <v>2</v>
      </c>
      <c r="F31" s="55"/>
      <c r="G31" s="56"/>
      <c r="H31" s="57"/>
      <c r="I31" s="55"/>
      <c r="J31" s="58"/>
      <c r="K31" s="58">
        <f t="shared" ref="K31" si="12">I31*5%</f>
        <v>0</v>
      </c>
      <c r="L31" s="58">
        <f t="shared" ref="L31" si="13">I31-K31</f>
        <v>0</v>
      </c>
      <c r="M31" s="58"/>
      <c r="N31" s="58"/>
      <c r="O31" s="58"/>
      <c r="P31" s="55"/>
      <c r="Q31" s="55"/>
      <c r="R31" s="55"/>
      <c r="S31" s="55"/>
      <c r="T31" s="55"/>
      <c r="U31" s="55">
        <f t="shared" ref="U31" si="14">I31</f>
        <v>0</v>
      </c>
      <c r="V31" s="55"/>
      <c r="W31" s="59">
        <f t="shared" si="8"/>
        <v>0</v>
      </c>
      <c r="X31" s="60">
        <v>42922</v>
      </c>
      <c r="Y31" s="60">
        <v>42946</v>
      </c>
      <c r="Z31" s="58">
        <f t="shared" ref="Z31" si="15">F31-W31</f>
        <v>0</v>
      </c>
      <c r="AA31" s="58">
        <f t="shared" si="9"/>
        <v>0</v>
      </c>
      <c r="AB31" s="61">
        <f t="shared" ref="AB31" si="16">AA31</f>
        <v>0</v>
      </c>
      <c r="AC31" s="58">
        <f t="shared" si="10"/>
        <v>0</v>
      </c>
      <c r="AD31" s="62">
        <f t="shared" si="11"/>
        <v>0</v>
      </c>
      <c r="AE31" s="63">
        <f t="shared" ref="AE31" si="17">I31-AB31-AC31-AD31</f>
        <v>0</v>
      </c>
    </row>
    <row r="32" spans="1:31" s="64" customFormat="1" ht="21" customHeight="1" x14ac:dyDescent="0.25">
      <c r="A32" s="53"/>
      <c r="B32" s="77" t="s">
        <v>69</v>
      </c>
      <c r="C32" s="54" t="s">
        <v>62</v>
      </c>
      <c r="D32" s="78" t="s">
        <v>58</v>
      </c>
      <c r="E32" s="78">
        <v>1</v>
      </c>
      <c r="F32" s="55"/>
      <c r="G32" s="56"/>
      <c r="H32" s="57"/>
      <c r="I32" s="55"/>
      <c r="J32" s="58"/>
      <c r="K32" s="58"/>
      <c r="L32" s="58"/>
      <c r="M32" s="58"/>
      <c r="N32" s="58"/>
      <c r="O32" s="58"/>
      <c r="P32" s="55"/>
      <c r="Q32" s="55"/>
      <c r="R32" s="55"/>
      <c r="S32" s="55"/>
      <c r="T32" s="55"/>
      <c r="U32" s="55"/>
      <c r="V32" s="55"/>
      <c r="W32" s="59"/>
      <c r="X32" s="60"/>
      <c r="Y32" s="60"/>
      <c r="Z32" s="58"/>
      <c r="AA32" s="58"/>
      <c r="AB32" s="61"/>
      <c r="AC32" s="58"/>
      <c r="AD32" s="62"/>
      <c r="AE32" s="63"/>
    </row>
    <row r="33" spans="1:34" s="64" customFormat="1" ht="36" customHeight="1" x14ac:dyDescent="0.25">
      <c r="A33" s="53"/>
      <c r="B33" s="77" t="s">
        <v>65</v>
      </c>
      <c r="C33" s="54" t="s">
        <v>57</v>
      </c>
      <c r="D33" s="78" t="s">
        <v>56</v>
      </c>
      <c r="E33" s="78">
        <v>1</v>
      </c>
      <c r="F33" s="55"/>
      <c r="G33" s="56"/>
      <c r="H33" s="57"/>
      <c r="I33" s="55"/>
      <c r="J33" s="58"/>
      <c r="K33" s="58"/>
      <c r="L33" s="58"/>
      <c r="M33" s="58"/>
      <c r="N33" s="58"/>
      <c r="O33" s="58"/>
      <c r="P33" s="55"/>
      <c r="Q33" s="55"/>
      <c r="R33" s="55"/>
      <c r="S33" s="55"/>
      <c r="T33" s="55"/>
      <c r="U33" s="55"/>
      <c r="V33" s="55"/>
      <c r="W33" s="59"/>
      <c r="X33" s="60"/>
      <c r="Y33" s="60"/>
      <c r="Z33" s="58"/>
      <c r="AA33" s="58"/>
      <c r="AB33" s="61"/>
      <c r="AC33" s="58"/>
      <c r="AD33" s="62"/>
      <c r="AE33" s="63"/>
    </row>
    <row r="34" spans="1:34" s="64" customFormat="1" ht="31.5" x14ac:dyDescent="0.25">
      <c r="A34" s="53"/>
      <c r="B34" s="77" t="s">
        <v>66</v>
      </c>
      <c r="C34" s="80" t="s">
        <v>63</v>
      </c>
      <c r="D34" s="78" t="s">
        <v>56</v>
      </c>
      <c r="E34" s="78">
        <v>1</v>
      </c>
      <c r="F34" s="55"/>
      <c r="G34" s="56"/>
      <c r="H34" s="57"/>
      <c r="I34" s="55"/>
      <c r="J34" s="58"/>
      <c r="K34" s="58">
        <f>I34*5%</f>
        <v>0</v>
      </c>
      <c r="L34" s="58">
        <f>I34-K34</f>
        <v>0</v>
      </c>
      <c r="M34" s="58"/>
      <c r="N34" s="58"/>
      <c r="O34" s="58"/>
      <c r="P34" s="55"/>
      <c r="Q34" s="55"/>
      <c r="R34" s="55"/>
      <c r="S34" s="55"/>
      <c r="T34" s="55"/>
      <c r="U34" s="55">
        <f>I34</f>
        <v>0</v>
      </c>
      <c r="V34" s="55"/>
      <c r="W34" s="59">
        <f t="shared" si="8"/>
        <v>0</v>
      </c>
      <c r="X34" s="60">
        <v>42922</v>
      </c>
      <c r="Y34" s="60">
        <v>42946</v>
      </c>
      <c r="Z34" s="58">
        <f>F34-W34</f>
        <v>0</v>
      </c>
      <c r="AA34" s="58">
        <f t="shared" si="9"/>
        <v>0</v>
      </c>
      <c r="AB34" s="61">
        <f>AA34</f>
        <v>0</v>
      </c>
      <c r="AC34" s="58">
        <f t="shared" si="10"/>
        <v>0</v>
      </c>
      <c r="AD34" s="62">
        <f t="shared" si="11"/>
        <v>0</v>
      </c>
      <c r="AE34" s="63">
        <f>I34-AB34-AC34-AD34</f>
        <v>0</v>
      </c>
    </row>
    <row r="35" spans="1:34" ht="15.75" x14ac:dyDescent="0.25">
      <c r="A35" s="79"/>
      <c r="B35" s="117" t="s">
        <v>12</v>
      </c>
      <c r="C35" s="118"/>
      <c r="D35" s="118"/>
      <c r="E35" s="118"/>
      <c r="F35" s="119"/>
      <c r="G35" s="11" t="e">
        <f>G28+#REF!+#REF!+#REF!+#REF!</f>
        <v>#REF!</v>
      </c>
      <c r="H35" s="11" t="e">
        <f>H28+#REF!+#REF!+#REF!+#REF!</f>
        <v>#REF!</v>
      </c>
      <c r="I35" s="11"/>
      <c r="J35" s="11" t="e">
        <f>J28+J31+J34+#REF!+#REF!+#REF!+#REF!</f>
        <v>#REF!</v>
      </c>
      <c r="K35" s="11" t="e">
        <f>K28+K31+K34+#REF!+#REF!+#REF!+#REF!</f>
        <v>#REF!</v>
      </c>
      <c r="L35" s="11" t="e">
        <f>L28+L31+L34+#REF!+#REF!+#REF!+#REF!</f>
        <v>#REF!</v>
      </c>
      <c r="M35" s="11" t="e">
        <f>M28+M31+M34+#REF!+#REF!+#REF!+#REF!</f>
        <v>#REF!</v>
      </c>
      <c r="N35" s="11" t="e">
        <f>N28+N31+N34+#REF!+#REF!+#REF!+#REF!</f>
        <v>#REF!</v>
      </c>
      <c r="O35" s="11" t="e">
        <f>O28+O31+O34+#REF!+#REF!+#REF!+#REF!</f>
        <v>#REF!</v>
      </c>
      <c r="P35" s="11" t="e">
        <f>P28+P31+P34+#REF!+#REF!+#REF!+#REF!</f>
        <v>#REF!</v>
      </c>
      <c r="Q35" s="11" t="e">
        <f>Q28+Q31+Q34+#REF!+#REF!+#REF!+#REF!</f>
        <v>#REF!</v>
      </c>
      <c r="R35" s="11" t="e">
        <f>R28+R31+R34+#REF!+#REF!+#REF!+#REF!</f>
        <v>#REF!</v>
      </c>
      <c r="S35" s="11" t="e">
        <f>S28+S31+S34+#REF!+#REF!+#REF!+#REF!</f>
        <v>#REF!</v>
      </c>
      <c r="T35" s="11" t="e">
        <f>T28+T31+T34+#REF!+#REF!+#REF!+#REF!</f>
        <v>#REF!</v>
      </c>
      <c r="U35" s="11" t="e">
        <f>U28+U31+U34+#REF!+#REF!+#REF!+#REF!</f>
        <v>#REF!</v>
      </c>
      <c r="V35" s="11" t="e">
        <f>V28+V31+V34+#REF!+#REF!+#REF!+#REF!</f>
        <v>#REF!</v>
      </c>
      <c r="W35" s="11" t="e">
        <f>W28+W31+W34+#REF!+#REF!+#REF!+#REF!</f>
        <v>#REF!</v>
      </c>
      <c r="X35" s="11" t="e">
        <f>X28+X31+X34+#REF!+#REF!+#REF!+#REF!</f>
        <v>#REF!</v>
      </c>
      <c r="Y35" s="11" t="e">
        <f>Y28+Y31+Y34+#REF!+#REF!+#REF!+#REF!</f>
        <v>#REF!</v>
      </c>
      <c r="Z35" s="11" t="e">
        <f>Z28+Z31+Z34+#REF!+#REF!+#REF!+#REF!</f>
        <v>#REF!</v>
      </c>
      <c r="AA35" s="11" t="e">
        <f>AA28+AA31+AA34+#REF!+#REF!+#REF!+#REF!</f>
        <v>#REF!</v>
      </c>
      <c r="AB35" s="11" t="e">
        <f>AB28+AB31+AB34+#REF!+#REF!+#REF!+#REF!</f>
        <v>#REF!</v>
      </c>
      <c r="AC35" s="11" t="e">
        <f>AC28+AC31+AC34+#REF!+#REF!+#REF!+#REF!</f>
        <v>#REF!</v>
      </c>
      <c r="AD35" s="11" t="e">
        <f>AD28+AD31+AD34+#REF!+#REF!+#REF!+#REF!</f>
        <v>#REF!</v>
      </c>
      <c r="AE35" s="11" t="e">
        <f>AE28+AE31+AE34+#REF!+#REF!+#REF!+#REF!</f>
        <v>#REF!</v>
      </c>
      <c r="AF35" s="11" t="e">
        <f>AF28+AF31+AF34+#REF!+#REF!+#REF!+#REF!</f>
        <v>#REF!</v>
      </c>
      <c r="AG35" s="8"/>
    </row>
    <row r="36" spans="1:34" ht="15.75" x14ac:dyDescent="0.25">
      <c r="A36" s="79"/>
      <c r="B36" s="117" t="s">
        <v>54</v>
      </c>
      <c r="C36" s="118"/>
      <c r="D36" s="118"/>
      <c r="E36" s="118"/>
      <c r="F36" s="119"/>
      <c r="G36" s="9" t="e">
        <f t="shared" ref="G36:H36" si="18">G35*18%</f>
        <v>#REF!</v>
      </c>
      <c r="H36" s="9" t="e">
        <f t="shared" si="18"/>
        <v>#REF!</v>
      </c>
      <c r="I36" s="9"/>
      <c r="J36" s="9" t="e">
        <f t="shared" ref="J36:AF36" si="19">J35*18%</f>
        <v>#REF!</v>
      </c>
      <c r="K36" s="9" t="e">
        <f t="shared" si="19"/>
        <v>#REF!</v>
      </c>
      <c r="L36" s="9" t="e">
        <f t="shared" si="19"/>
        <v>#REF!</v>
      </c>
      <c r="M36" s="9" t="e">
        <f t="shared" si="19"/>
        <v>#REF!</v>
      </c>
      <c r="N36" s="9" t="e">
        <f t="shared" si="19"/>
        <v>#REF!</v>
      </c>
      <c r="O36" s="9" t="e">
        <f t="shared" si="19"/>
        <v>#REF!</v>
      </c>
      <c r="P36" s="9" t="e">
        <f t="shared" si="19"/>
        <v>#REF!</v>
      </c>
      <c r="Q36" s="9" t="e">
        <f t="shared" si="19"/>
        <v>#REF!</v>
      </c>
      <c r="R36" s="9" t="e">
        <f t="shared" si="19"/>
        <v>#REF!</v>
      </c>
      <c r="S36" s="9" t="e">
        <f t="shared" si="19"/>
        <v>#REF!</v>
      </c>
      <c r="T36" s="9" t="e">
        <f t="shared" si="19"/>
        <v>#REF!</v>
      </c>
      <c r="U36" s="9" t="e">
        <f t="shared" si="19"/>
        <v>#REF!</v>
      </c>
      <c r="V36" s="9" t="e">
        <f t="shared" si="19"/>
        <v>#REF!</v>
      </c>
      <c r="W36" s="9" t="e">
        <f t="shared" si="19"/>
        <v>#REF!</v>
      </c>
      <c r="X36" s="9" t="e">
        <f t="shared" si="19"/>
        <v>#REF!</v>
      </c>
      <c r="Y36" s="9" t="e">
        <f t="shared" si="19"/>
        <v>#REF!</v>
      </c>
      <c r="Z36" s="9" t="e">
        <f t="shared" si="19"/>
        <v>#REF!</v>
      </c>
      <c r="AA36" s="9" t="e">
        <f t="shared" si="19"/>
        <v>#REF!</v>
      </c>
      <c r="AB36" s="9" t="e">
        <f t="shared" si="19"/>
        <v>#REF!</v>
      </c>
      <c r="AC36" s="9" t="e">
        <f t="shared" si="19"/>
        <v>#REF!</v>
      </c>
      <c r="AD36" s="9" t="e">
        <f t="shared" si="19"/>
        <v>#REF!</v>
      </c>
      <c r="AE36" s="9" t="e">
        <f t="shared" si="19"/>
        <v>#REF!</v>
      </c>
      <c r="AF36" s="9" t="e">
        <f t="shared" si="19"/>
        <v>#REF!</v>
      </c>
      <c r="AG36" s="81"/>
      <c r="AH36" s="82"/>
    </row>
    <row r="37" spans="1:34" ht="16.5" thickBot="1" x14ac:dyDescent="0.3">
      <c r="A37" s="120" t="s">
        <v>55</v>
      </c>
      <c r="B37" s="121"/>
      <c r="C37" s="121"/>
      <c r="D37" s="121"/>
      <c r="E37" s="121"/>
      <c r="F37" s="122"/>
      <c r="G37" s="10" t="e">
        <f t="shared" ref="G37:H37" si="20">G35+G36</f>
        <v>#REF!</v>
      </c>
      <c r="H37" s="10" t="e">
        <f t="shared" si="20"/>
        <v>#REF!</v>
      </c>
      <c r="I37" s="10"/>
      <c r="J37" s="10" t="e">
        <f t="shared" ref="J37:AF37" si="21">J35+J36</f>
        <v>#REF!</v>
      </c>
      <c r="K37" s="10" t="e">
        <f t="shared" si="21"/>
        <v>#REF!</v>
      </c>
      <c r="L37" s="10" t="e">
        <f t="shared" si="21"/>
        <v>#REF!</v>
      </c>
      <c r="M37" s="10" t="e">
        <f t="shared" si="21"/>
        <v>#REF!</v>
      </c>
      <c r="N37" s="10" t="e">
        <f t="shared" si="21"/>
        <v>#REF!</v>
      </c>
      <c r="O37" s="10" t="e">
        <f t="shared" si="21"/>
        <v>#REF!</v>
      </c>
      <c r="P37" s="10" t="e">
        <f t="shared" si="21"/>
        <v>#REF!</v>
      </c>
      <c r="Q37" s="10" t="e">
        <f t="shared" si="21"/>
        <v>#REF!</v>
      </c>
      <c r="R37" s="10" t="e">
        <f t="shared" si="21"/>
        <v>#REF!</v>
      </c>
      <c r="S37" s="10" t="e">
        <f t="shared" si="21"/>
        <v>#REF!</v>
      </c>
      <c r="T37" s="10" t="e">
        <f t="shared" si="21"/>
        <v>#REF!</v>
      </c>
      <c r="U37" s="10" t="e">
        <f t="shared" si="21"/>
        <v>#REF!</v>
      </c>
      <c r="V37" s="10" t="e">
        <f t="shared" si="21"/>
        <v>#REF!</v>
      </c>
      <c r="W37" s="10" t="e">
        <f t="shared" si="21"/>
        <v>#REF!</v>
      </c>
      <c r="X37" s="10" t="e">
        <f t="shared" si="21"/>
        <v>#REF!</v>
      </c>
      <c r="Y37" s="10" t="e">
        <f t="shared" si="21"/>
        <v>#REF!</v>
      </c>
      <c r="Z37" s="10" t="e">
        <f t="shared" si="21"/>
        <v>#REF!</v>
      </c>
      <c r="AA37" s="10" t="e">
        <f t="shared" si="21"/>
        <v>#REF!</v>
      </c>
      <c r="AB37" s="10" t="e">
        <f t="shared" si="21"/>
        <v>#REF!</v>
      </c>
      <c r="AC37" s="10" t="e">
        <f t="shared" si="21"/>
        <v>#REF!</v>
      </c>
      <c r="AD37" s="10" t="e">
        <f t="shared" si="21"/>
        <v>#REF!</v>
      </c>
      <c r="AE37" s="10" t="e">
        <f t="shared" si="21"/>
        <v>#REF!</v>
      </c>
      <c r="AF37" s="10" t="e">
        <f t="shared" si="21"/>
        <v>#REF!</v>
      </c>
    </row>
    <row r="38" spans="1:34" x14ac:dyDescent="0.25">
      <c r="F38" s="69" t="s">
        <v>34</v>
      </c>
      <c r="G38" s="69"/>
      <c r="H38" s="70"/>
      <c r="I38" s="69"/>
      <c r="AE38" s="8"/>
    </row>
    <row r="39" spans="1:34" hidden="1" x14ac:dyDescent="0.25">
      <c r="F39" s="69"/>
      <c r="G39" s="69"/>
      <c r="H39" s="70"/>
      <c r="I39" s="70"/>
      <c r="AE39" s="8">
        <f t="shared" ref="AE39:AE62" si="22">I39-AB39-AC39-AD39-J39</f>
        <v>0</v>
      </c>
    </row>
    <row r="40" spans="1:34" hidden="1" x14ac:dyDescent="0.25">
      <c r="F40" s="69"/>
      <c r="G40" s="70"/>
      <c r="H40" s="70"/>
      <c r="I40" s="70"/>
      <c r="J40" t="s">
        <v>28</v>
      </c>
      <c r="K40" t="s">
        <v>29</v>
      </c>
      <c r="AE40" s="8" t="e">
        <f t="shared" si="22"/>
        <v>#VALUE!</v>
      </c>
    </row>
    <row r="41" spans="1:34" ht="47.25" hidden="1" x14ac:dyDescent="0.25">
      <c r="C41" s="13" t="s">
        <v>20</v>
      </c>
      <c r="D41" s="14" t="s">
        <v>32</v>
      </c>
      <c r="E41" s="14">
        <v>112.89</v>
      </c>
      <c r="F41" s="44">
        <f>I41/E41</f>
        <v>144661.20000000001</v>
      </c>
      <c r="G41" s="44">
        <f>E41*F41</f>
        <v>16330802.869999999</v>
      </c>
      <c r="H41" s="44"/>
      <c r="I41" s="44">
        <v>16330803.390000001</v>
      </c>
      <c r="J41" s="14">
        <f>I41*30%</f>
        <v>4899241.0199999996</v>
      </c>
      <c r="K41" s="14">
        <f>I41*70%</f>
        <v>11431562.369999999</v>
      </c>
      <c r="L41" s="14">
        <f>I41+I42+I44+I45+I46</f>
        <v>51037807.450000003</v>
      </c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AE41" s="8">
        <f t="shared" si="22"/>
        <v>11431562.369999999</v>
      </c>
    </row>
    <row r="42" spans="1:34" ht="31.5" hidden="1" x14ac:dyDescent="0.25">
      <c r="C42" s="13" t="s">
        <v>30</v>
      </c>
      <c r="D42" s="14" t="s">
        <v>33</v>
      </c>
      <c r="E42" s="14"/>
      <c r="F42" s="44"/>
      <c r="G42" s="44"/>
      <c r="H42" s="44"/>
      <c r="I42" s="44">
        <v>32565732.199999999</v>
      </c>
      <c r="J42" s="14">
        <f>I42*30%</f>
        <v>9769719.6600000001</v>
      </c>
      <c r="K42" s="14">
        <f>I42*70%</f>
        <v>22796012.539999999</v>
      </c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AE42" s="8">
        <f t="shared" si="22"/>
        <v>22796012.539999999</v>
      </c>
    </row>
    <row r="43" spans="1:34" ht="141.75" hidden="1" x14ac:dyDescent="0.25">
      <c r="C43" s="13" t="s">
        <v>21</v>
      </c>
      <c r="D43" s="14" t="s">
        <v>33</v>
      </c>
      <c r="E43" s="14"/>
      <c r="F43" s="44"/>
      <c r="G43" s="44"/>
      <c r="H43" s="44"/>
      <c r="I43" s="44">
        <f>22881.36*84</f>
        <v>1922034.24</v>
      </c>
      <c r="J43" s="14">
        <f>I43*30%</f>
        <v>576610.27</v>
      </c>
      <c r="K43" s="14">
        <f>I43*70%</f>
        <v>1345423.97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AE43" s="8">
        <f t="shared" si="22"/>
        <v>1345423.97</v>
      </c>
    </row>
    <row r="44" spans="1:34" ht="15.75" hidden="1" x14ac:dyDescent="0.25">
      <c r="C44" s="42" t="s">
        <v>31</v>
      </c>
      <c r="D44" s="14"/>
      <c r="E44" s="14"/>
      <c r="F44" s="44"/>
      <c r="G44" s="44"/>
      <c r="H44" s="44"/>
      <c r="I44" s="44">
        <v>388737.29</v>
      </c>
      <c r="J44" s="14">
        <f>I44</f>
        <v>388737.29</v>
      </c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AE44" s="8">
        <f t="shared" si="22"/>
        <v>0</v>
      </c>
    </row>
    <row r="45" spans="1:34" ht="141.75" hidden="1" x14ac:dyDescent="0.25">
      <c r="C45" s="13" t="s">
        <v>21</v>
      </c>
      <c r="D45" s="14"/>
      <c r="E45" s="14"/>
      <c r="F45" s="44"/>
      <c r="G45" s="44"/>
      <c r="H45" s="44"/>
      <c r="I45" s="44">
        <v>1355932.2</v>
      </c>
      <c r="J45" s="14">
        <f>I45</f>
        <v>1355932.2</v>
      </c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AE45" s="8">
        <f t="shared" si="22"/>
        <v>0</v>
      </c>
    </row>
    <row r="46" spans="1:34" ht="47.25" hidden="1" x14ac:dyDescent="0.25">
      <c r="C46" s="13" t="s">
        <v>22</v>
      </c>
      <c r="D46" s="14"/>
      <c r="E46" s="14"/>
      <c r="F46" s="44"/>
      <c r="G46" s="44"/>
      <c r="H46" s="44"/>
      <c r="I46" s="44">
        <v>396602.37</v>
      </c>
      <c r="J46" s="14">
        <f>I46</f>
        <v>396602.37</v>
      </c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AE46" s="8">
        <f t="shared" si="22"/>
        <v>0</v>
      </c>
    </row>
    <row r="47" spans="1:34" ht="15.75" hidden="1" x14ac:dyDescent="0.25">
      <c r="D47" s="14"/>
      <c r="E47" s="14"/>
      <c r="F47" s="44"/>
      <c r="G47" s="44"/>
      <c r="H47" s="44"/>
      <c r="I47" s="44">
        <f>I41+I42+I43+I44+I45+I46</f>
        <v>52959841.689999998</v>
      </c>
      <c r="J47" s="14">
        <f t="shared" ref="J47:K47" si="23">J41+J42+J43+J44+J45+J46</f>
        <v>17386842.809999999</v>
      </c>
      <c r="K47" s="14">
        <f t="shared" si="23"/>
        <v>35572998.880000003</v>
      </c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AE47" s="8">
        <f t="shared" si="22"/>
        <v>35572998.880000003</v>
      </c>
    </row>
    <row r="48" spans="1:34" ht="15.75" hidden="1" x14ac:dyDescent="0.25">
      <c r="F48" s="69"/>
      <c r="G48" s="70"/>
      <c r="H48" s="70"/>
      <c r="I48" s="4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AE48" s="8">
        <f t="shared" si="22"/>
        <v>0</v>
      </c>
    </row>
    <row r="49" spans="6:31" ht="15.75" hidden="1" x14ac:dyDescent="0.25">
      <c r="F49" s="69"/>
      <c r="G49" s="70"/>
      <c r="H49" s="70"/>
      <c r="I49" s="4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AE49" s="8">
        <f t="shared" si="22"/>
        <v>0</v>
      </c>
    </row>
    <row r="50" spans="6:31" ht="15.75" hidden="1" x14ac:dyDescent="0.25">
      <c r="F50" s="69"/>
      <c r="G50" s="70"/>
      <c r="H50" s="70"/>
      <c r="I50" s="4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AE50" s="8">
        <f t="shared" si="22"/>
        <v>0</v>
      </c>
    </row>
    <row r="51" spans="6:31" ht="15.75" hidden="1" x14ac:dyDescent="0.25">
      <c r="F51" s="69"/>
      <c r="G51" s="70"/>
      <c r="H51" s="70"/>
      <c r="I51" s="4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AE51" s="8">
        <f t="shared" si="22"/>
        <v>0</v>
      </c>
    </row>
    <row r="52" spans="6:31" ht="15.75" hidden="1" x14ac:dyDescent="0.25">
      <c r="F52" s="69"/>
      <c r="G52" s="70"/>
      <c r="H52" s="70"/>
      <c r="I52" s="4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AE52" s="8">
        <f t="shared" si="22"/>
        <v>0</v>
      </c>
    </row>
    <row r="53" spans="6:31" ht="15.75" hidden="1" x14ac:dyDescent="0.25">
      <c r="F53" s="69"/>
      <c r="G53" s="70"/>
      <c r="H53" s="70"/>
      <c r="I53" s="4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AE53" s="8">
        <f t="shared" si="22"/>
        <v>0</v>
      </c>
    </row>
    <row r="54" spans="6:31" ht="15.75" hidden="1" x14ac:dyDescent="0.25">
      <c r="F54" s="69"/>
      <c r="G54" s="70"/>
      <c r="H54" s="70"/>
      <c r="I54" s="4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AE54" s="8">
        <f t="shared" si="22"/>
        <v>0</v>
      </c>
    </row>
    <row r="55" spans="6:31" ht="15.75" hidden="1" x14ac:dyDescent="0.25">
      <c r="F55" s="69"/>
      <c r="G55" s="70"/>
      <c r="H55" s="70"/>
      <c r="I55" s="4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AE55" s="8">
        <f t="shared" si="22"/>
        <v>0</v>
      </c>
    </row>
    <row r="56" spans="6:31" ht="15.75" hidden="1" x14ac:dyDescent="0.25">
      <c r="F56" s="69"/>
      <c r="G56" s="70"/>
      <c r="H56" s="70"/>
      <c r="I56" s="4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AE56" s="8">
        <f t="shared" si="22"/>
        <v>0</v>
      </c>
    </row>
    <row r="57" spans="6:31" ht="15.75" hidden="1" x14ac:dyDescent="0.25">
      <c r="F57" s="69"/>
      <c r="G57" s="70"/>
      <c r="H57" s="70"/>
      <c r="I57" s="4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AE57" s="8">
        <f t="shared" si="22"/>
        <v>0</v>
      </c>
    </row>
    <row r="58" spans="6:31" ht="15.75" hidden="1" x14ac:dyDescent="0.25">
      <c r="F58" s="69"/>
      <c r="G58" s="70"/>
      <c r="H58" s="70"/>
      <c r="I58" s="4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AE58" s="8">
        <f t="shared" si="22"/>
        <v>0</v>
      </c>
    </row>
    <row r="59" spans="6:31" ht="15.75" hidden="1" x14ac:dyDescent="0.25">
      <c r="F59" s="69"/>
      <c r="G59" s="70"/>
      <c r="H59" s="70"/>
      <c r="I59" s="4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AE59" s="8">
        <f t="shared" si="22"/>
        <v>0</v>
      </c>
    </row>
    <row r="60" spans="6:31" ht="15.75" hidden="1" x14ac:dyDescent="0.25">
      <c r="F60" s="69"/>
      <c r="G60" s="70"/>
      <c r="H60" s="70"/>
      <c r="I60" s="4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AE60" s="8">
        <f t="shared" si="22"/>
        <v>0</v>
      </c>
    </row>
    <row r="61" spans="6:31" hidden="1" x14ac:dyDescent="0.25">
      <c r="F61" s="69"/>
      <c r="G61" s="70"/>
      <c r="H61" s="70"/>
      <c r="I61" s="70"/>
      <c r="AE61" s="8">
        <f t="shared" si="22"/>
        <v>0</v>
      </c>
    </row>
    <row r="62" spans="6:31" hidden="1" x14ac:dyDescent="0.25">
      <c r="F62" s="69"/>
      <c r="G62" s="70"/>
      <c r="H62" s="70"/>
      <c r="I62" s="70"/>
      <c r="AE62" s="8">
        <f t="shared" si="22"/>
        <v>0</v>
      </c>
    </row>
    <row r="63" spans="6:31" x14ac:dyDescent="0.25">
      <c r="F63" s="69"/>
      <c r="G63" s="70"/>
      <c r="H63" s="70"/>
      <c r="I63" s="70"/>
      <c r="AE63" s="8"/>
    </row>
    <row r="64" spans="6:31" x14ac:dyDescent="0.25">
      <c r="F64" s="69"/>
      <c r="G64" s="70"/>
      <c r="H64" s="70"/>
      <c r="I64" s="70"/>
      <c r="AE64" s="8"/>
    </row>
    <row r="65" spans="2:26" ht="18.75" x14ac:dyDescent="0.3">
      <c r="B65" s="49"/>
      <c r="C65" s="42" t="s">
        <v>43</v>
      </c>
      <c r="D65" s="47"/>
      <c r="E65" s="71"/>
      <c r="F65" s="66" t="s">
        <v>45</v>
      </c>
      <c r="I65" s="66"/>
      <c r="Y65" s="47"/>
      <c r="Z65" s="48"/>
    </row>
    <row r="67" spans="2:26" x14ac:dyDescent="0.25">
      <c r="C67" s="42" t="s">
        <v>44</v>
      </c>
      <c r="F67" s="66" t="s">
        <v>50</v>
      </c>
    </row>
    <row r="75" spans="2:26" x14ac:dyDescent="0.25">
      <c r="E75" s="72"/>
      <c r="F75" s="73"/>
      <c r="G75" s="72"/>
      <c r="H75" s="72"/>
      <c r="I75" s="72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2:26" x14ac:dyDescent="0.25">
      <c r="E76" s="72"/>
      <c r="F76" s="73"/>
      <c r="G76" s="72"/>
      <c r="H76" s="72"/>
      <c r="I76" s="72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2:26" x14ac:dyDescent="0.25">
      <c r="E77" s="72"/>
      <c r="F77" s="73"/>
      <c r="G77" s="72"/>
      <c r="H77" s="72"/>
      <c r="I77" s="72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2:26" x14ac:dyDescent="0.25">
      <c r="E78" s="72"/>
      <c r="F78" s="73"/>
      <c r="G78" s="72"/>
      <c r="H78" s="72"/>
      <c r="I78" s="72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2:26" x14ac:dyDescent="0.25">
      <c r="E79" s="72"/>
      <c r="F79" s="73"/>
      <c r="G79" s="72"/>
      <c r="H79" s="72"/>
      <c r="I79" s="73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2:26" x14ac:dyDescent="0.25">
      <c r="E80" s="72"/>
      <c r="F80" s="73"/>
      <c r="G80" s="72"/>
      <c r="H80" s="72"/>
      <c r="I80" s="72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5:25" x14ac:dyDescent="0.25">
      <c r="E81" s="72"/>
      <c r="F81" s="73"/>
      <c r="G81" s="72"/>
      <c r="H81" s="72"/>
      <c r="I81" s="72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5:25" x14ac:dyDescent="0.25">
      <c r="E82" s="72"/>
      <c r="F82" s="73">
        <v>715530.89</v>
      </c>
      <c r="G82" s="73"/>
      <c r="H82" s="73"/>
      <c r="I82" s="73">
        <f>F82*18%</f>
        <v>128795.56</v>
      </c>
      <c r="J82" s="46">
        <f>F82+I82</f>
        <v>844326.45</v>
      </c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5:25" x14ac:dyDescent="0.25">
      <c r="E83" s="72"/>
      <c r="F83" s="73">
        <f>320401.98</f>
        <v>320401.98</v>
      </c>
      <c r="G83" s="73"/>
      <c r="H83" s="73"/>
      <c r="I83" s="73">
        <f>F83*18%</f>
        <v>57672.36</v>
      </c>
      <c r="J83" s="46">
        <f>F83+I83</f>
        <v>378074.34</v>
      </c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  <row r="84" spans="5:25" x14ac:dyDescent="0.25">
      <c r="E84" s="72"/>
      <c r="F84" s="74">
        <v>144515.57</v>
      </c>
      <c r="G84" s="74"/>
      <c r="H84" s="74"/>
      <c r="I84" s="74">
        <f t="shared" ref="I84:I87" si="24">F84*18%</f>
        <v>26012.799999999999</v>
      </c>
      <c r="J84" s="50">
        <f t="shared" ref="J84:J87" si="25">F84+I84</f>
        <v>170528.37</v>
      </c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</row>
    <row r="85" spans="5:25" x14ac:dyDescent="0.25">
      <c r="E85" s="72"/>
      <c r="F85" s="74">
        <v>1829680.94</v>
      </c>
      <c r="G85" s="74"/>
      <c r="H85" s="74"/>
      <c r="I85" s="74">
        <f t="shared" si="24"/>
        <v>329342.57</v>
      </c>
      <c r="J85" s="50">
        <f t="shared" si="25"/>
        <v>2159023.5099999998</v>
      </c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</row>
    <row r="86" spans="5:25" x14ac:dyDescent="0.25">
      <c r="E86" s="72"/>
      <c r="F86" s="74">
        <v>2886595.77</v>
      </c>
      <c r="G86" s="74"/>
      <c r="H86" s="74"/>
      <c r="I86" s="74">
        <f t="shared" si="24"/>
        <v>519587.24</v>
      </c>
      <c r="J86" s="50">
        <f t="shared" si="25"/>
        <v>3406183.01</v>
      </c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</row>
    <row r="87" spans="5:25" x14ac:dyDescent="0.25">
      <c r="E87" s="72"/>
      <c r="F87" s="74">
        <v>1647594.78</v>
      </c>
      <c r="G87" s="74"/>
      <c r="H87" s="74"/>
      <c r="I87" s="74">
        <f t="shared" si="24"/>
        <v>296567.06</v>
      </c>
      <c r="J87" s="50">
        <f t="shared" si="25"/>
        <v>1944161.84</v>
      </c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</row>
    <row r="88" spans="5:25" x14ac:dyDescent="0.25">
      <c r="E88" s="72"/>
      <c r="F88" s="75">
        <f>F83+F84+F85+F86+F87+F82</f>
        <v>7544319.9299999997</v>
      </c>
      <c r="G88" s="75">
        <f t="shared" ref="G88" si="26">G83+G84+G85+G86+G87+G82</f>
        <v>0</v>
      </c>
      <c r="H88" s="75">
        <f t="shared" ref="H88" si="27">H83+H84+H85+H86+H87+H82</f>
        <v>0</v>
      </c>
      <c r="I88" s="75">
        <f t="shared" ref="I88" si="28">I83+I84+I85+I86+I87+I82</f>
        <v>1357977.59</v>
      </c>
      <c r="J88" s="52">
        <f>J83+J84+J85+J86+J87+J82</f>
        <v>8902297.5199999996</v>
      </c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</row>
    <row r="89" spans="5:25" x14ac:dyDescent="0.25">
      <c r="E89" s="72"/>
      <c r="F89" s="74"/>
      <c r="G89" s="76"/>
      <c r="H89" s="76"/>
      <c r="I89" s="76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</row>
    <row r="90" spans="5:25" x14ac:dyDescent="0.25">
      <c r="E90" s="72"/>
      <c r="F90" s="74"/>
      <c r="G90" s="76"/>
      <c r="H90" s="76"/>
      <c r="I90" s="76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</row>
    <row r="91" spans="5:25" x14ac:dyDescent="0.25">
      <c r="E91" s="72"/>
      <c r="F91" s="74"/>
      <c r="G91" s="76"/>
      <c r="H91" s="76"/>
      <c r="I91" s="76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</row>
    <row r="92" spans="5:25" x14ac:dyDescent="0.25">
      <c r="E92" s="72"/>
      <c r="F92" s="74"/>
      <c r="G92" s="76"/>
      <c r="H92" s="76"/>
      <c r="I92" s="76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</row>
    <row r="93" spans="5:25" x14ac:dyDescent="0.25">
      <c r="E93" s="72"/>
      <c r="F93" s="74"/>
      <c r="G93" s="76"/>
      <c r="H93" s="76"/>
      <c r="I93" s="76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</row>
    <row r="94" spans="5:25" x14ac:dyDescent="0.25">
      <c r="E94" s="72"/>
      <c r="F94" s="74"/>
      <c r="G94" s="76"/>
      <c r="H94" s="76"/>
      <c r="I94" s="76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</row>
    <row r="95" spans="5:25" x14ac:dyDescent="0.25">
      <c r="E95" s="72"/>
      <c r="F95" s="74"/>
      <c r="G95" s="76"/>
      <c r="H95" s="76"/>
      <c r="I95" s="76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</row>
    <row r="96" spans="5:25" x14ac:dyDescent="0.25">
      <c r="E96" s="72"/>
      <c r="F96" s="74"/>
      <c r="G96" s="76"/>
      <c r="H96" s="76"/>
      <c r="I96" s="76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</row>
    <row r="97" spans="5:25" x14ac:dyDescent="0.25">
      <c r="E97" s="72"/>
      <c r="F97" s="74"/>
      <c r="G97" s="76"/>
      <c r="H97" s="76"/>
      <c r="I97" s="76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</row>
    <row r="98" spans="5:25" x14ac:dyDescent="0.25">
      <c r="E98" s="72"/>
      <c r="F98" s="73"/>
      <c r="G98" s="72"/>
      <c r="H98" s="72"/>
      <c r="I98" s="72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</row>
    <row r="99" spans="5:25" x14ac:dyDescent="0.25">
      <c r="E99" s="72"/>
      <c r="F99" s="73"/>
      <c r="G99" s="72"/>
      <c r="H99" s="72"/>
      <c r="I99" s="72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</row>
    <row r="100" spans="5:25" x14ac:dyDescent="0.25">
      <c r="E100" s="72"/>
      <c r="F100" s="73"/>
      <c r="G100" s="72"/>
      <c r="H100" s="72"/>
      <c r="I100" s="72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</row>
    <row r="101" spans="5:25" x14ac:dyDescent="0.25">
      <c r="E101" s="72"/>
      <c r="F101" s="73"/>
      <c r="G101" s="72"/>
      <c r="H101" s="72"/>
      <c r="I101" s="72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</row>
    <row r="102" spans="5:25" x14ac:dyDescent="0.25">
      <c r="E102" s="72"/>
      <c r="F102" s="73"/>
      <c r="G102" s="72"/>
      <c r="H102" s="72"/>
      <c r="I102" s="72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</row>
    <row r="103" spans="5:25" x14ac:dyDescent="0.25">
      <c r="E103" s="72"/>
      <c r="F103" s="73"/>
      <c r="G103" s="72"/>
      <c r="H103" s="72"/>
      <c r="I103" s="72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</row>
    <row r="104" spans="5:25" x14ac:dyDescent="0.25">
      <c r="E104" s="72"/>
      <c r="F104" s="73"/>
      <c r="G104" s="72"/>
      <c r="H104" s="72"/>
      <c r="I104" s="72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</row>
    <row r="105" spans="5:25" x14ac:dyDescent="0.25">
      <c r="E105" s="72"/>
      <c r="F105" s="73"/>
      <c r="G105" s="72"/>
      <c r="H105" s="72"/>
      <c r="I105" s="72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</row>
    <row r="106" spans="5:25" x14ac:dyDescent="0.25">
      <c r="E106" s="72"/>
      <c r="F106" s="73"/>
      <c r="G106" s="72"/>
      <c r="H106" s="72"/>
      <c r="I106" s="72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</row>
    <row r="107" spans="5:25" x14ac:dyDescent="0.25">
      <c r="E107" s="72"/>
      <c r="F107" s="73"/>
      <c r="G107" s="72"/>
      <c r="H107" s="72"/>
      <c r="I107" s="72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</row>
    <row r="108" spans="5:25" x14ac:dyDescent="0.25">
      <c r="E108" s="72"/>
      <c r="F108" s="73"/>
      <c r="G108" s="72"/>
      <c r="H108" s="72"/>
      <c r="I108" s="72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</row>
    <row r="109" spans="5:25" x14ac:dyDescent="0.25">
      <c r="E109" s="72"/>
      <c r="F109" s="73"/>
      <c r="G109" s="72"/>
      <c r="H109" s="72"/>
      <c r="I109" s="72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</row>
    <row r="110" spans="5:25" x14ac:dyDescent="0.25">
      <c r="E110" s="72"/>
      <c r="F110" s="73"/>
      <c r="G110" s="72"/>
      <c r="H110" s="72"/>
      <c r="I110" s="72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</row>
    <row r="111" spans="5:25" x14ac:dyDescent="0.25">
      <c r="E111" s="72"/>
      <c r="F111" s="73"/>
      <c r="G111" s="72"/>
      <c r="H111" s="72"/>
      <c r="I111" s="72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</row>
    <row r="112" spans="5:25" x14ac:dyDescent="0.25">
      <c r="E112" s="72"/>
      <c r="F112" s="73"/>
      <c r="G112" s="72"/>
      <c r="H112" s="72"/>
      <c r="I112" s="72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</row>
    <row r="113" spans="5:25" x14ac:dyDescent="0.25">
      <c r="E113" s="72"/>
      <c r="F113" s="73"/>
      <c r="G113" s="72"/>
      <c r="H113" s="72"/>
      <c r="I113" s="72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</row>
  </sheetData>
  <mergeCells count="36">
    <mergeCell ref="B35:F35"/>
    <mergeCell ref="B36:F36"/>
    <mergeCell ref="A37:F37"/>
    <mergeCell ref="B13:F13"/>
    <mergeCell ref="I2:I3"/>
    <mergeCell ref="B2:B3"/>
    <mergeCell ref="C2:C3"/>
    <mergeCell ref="K2:K3"/>
    <mergeCell ref="X2:Y2"/>
    <mergeCell ref="Z2:Z3"/>
    <mergeCell ref="M2:W2"/>
    <mergeCell ref="L2:L3"/>
    <mergeCell ref="AA2:AB2"/>
    <mergeCell ref="AC2:AC3"/>
    <mergeCell ref="B14:F14"/>
    <mergeCell ref="J26:J27"/>
    <mergeCell ref="E26:E27"/>
    <mergeCell ref="F26:F27"/>
    <mergeCell ref="D2:D3"/>
    <mergeCell ref="E2:E3"/>
    <mergeCell ref="F2:F3"/>
    <mergeCell ref="B25:AD25"/>
    <mergeCell ref="B26:B27"/>
    <mergeCell ref="C26:C27"/>
    <mergeCell ref="AD2:AD3"/>
    <mergeCell ref="B12:F12"/>
    <mergeCell ref="D26:D27"/>
    <mergeCell ref="AD26:AD27"/>
    <mergeCell ref="Z26:Z27"/>
    <mergeCell ref="AA26:AB26"/>
    <mergeCell ref="AC26:AC27"/>
    <mergeCell ref="I26:I27"/>
    <mergeCell ref="K26:K27"/>
    <mergeCell ref="L26:L27"/>
    <mergeCell ref="M26:W26"/>
    <mergeCell ref="X26:Y26"/>
  </mergeCells>
  <pageMargins left="0.70866141732283472" right="0.11811023622047245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2018-11-08T11:31:20Z</dcterms:modified>
</cp:coreProperties>
</file>